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19440" windowHeight="7755" activeTab="2"/>
  </bookViews>
  <sheets>
    <sheet name="4.4.1" sheetId="1" r:id="rId1"/>
    <sheet name="AA" sheetId="4" r:id="rId2"/>
    <sheet name="PHY" sheetId="5" r:id="rId3"/>
  </sheets>
  <calcPr calcId="124519"/>
</workbook>
</file>

<file path=xl/calcChain.xml><?xml version="1.0" encoding="utf-8"?>
<calcChain xmlns="http://schemas.openxmlformats.org/spreadsheetml/2006/main">
  <c r="C333" i="4"/>
  <c r="C163" i="5"/>
  <c r="C317" i="4"/>
  <c r="C295"/>
  <c r="C263"/>
  <c r="C119" i="5"/>
  <c r="C215" i="4"/>
  <c r="C200"/>
  <c r="C169"/>
  <c r="C168"/>
  <c r="C96" i="5"/>
  <c r="C137" i="4"/>
  <c r="C163" s="1"/>
  <c r="D110" i="1"/>
  <c r="D109"/>
  <c r="C70" i="5"/>
  <c r="C69"/>
  <c r="C120" i="4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35" i="5"/>
  <c r="C72" i="4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D106" i="1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85"/>
  <c r="D467"/>
  <c r="D466"/>
  <c r="C253" i="4" l="1"/>
  <c r="C121"/>
  <c r="D181" i="1"/>
  <c r="C73" i="4"/>
  <c r="C180" i="1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181" l="1"/>
  <c r="C106"/>
  <c r="C447"/>
  <c r="C434"/>
  <c r="C416"/>
  <c r="C413"/>
  <c r="C394"/>
  <c r="C386"/>
  <c r="C368"/>
  <c r="C367"/>
  <c r="C362"/>
  <c r="C360"/>
  <c r="C355"/>
  <c r="C305"/>
  <c r="C288"/>
  <c r="C273"/>
  <c r="C249"/>
  <c r="C248"/>
  <c r="C247"/>
  <c r="C212"/>
  <c r="C201"/>
  <c r="C192"/>
  <c r="C185"/>
  <c r="C468" l="1"/>
  <c r="D368" s="1"/>
  <c r="C243"/>
  <c r="D201" s="1"/>
  <c r="C350"/>
  <c r="D348" l="1"/>
  <c r="D344"/>
  <c r="D340"/>
  <c r="D336"/>
  <c r="D332"/>
  <c r="D328"/>
  <c r="D324"/>
  <c r="D318"/>
  <c r="D314"/>
  <c r="D310"/>
  <c r="D306"/>
  <c r="D302"/>
  <c r="D298"/>
  <c r="D294"/>
  <c r="D290"/>
  <c r="D286"/>
  <c r="D282"/>
  <c r="D278"/>
  <c r="D274"/>
  <c r="D270"/>
  <c r="D266"/>
  <c r="D262"/>
  <c r="D258"/>
  <c r="D254"/>
  <c r="D250"/>
  <c r="D326"/>
  <c r="D316"/>
  <c r="D308"/>
  <c r="D300"/>
  <c r="D292"/>
  <c r="D284"/>
  <c r="D272"/>
  <c r="D264"/>
  <c r="D256"/>
  <c r="D321"/>
  <c r="D343"/>
  <c r="D335"/>
  <c r="D327"/>
  <c r="D317"/>
  <c r="D309"/>
  <c r="D301"/>
  <c r="D293"/>
  <c r="D285"/>
  <c r="D277"/>
  <c r="D269"/>
  <c r="D261"/>
  <c r="D253"/>
  <c r="D349"/>
  <c r="D345"/>
  <c r="D341"/>
  <c r="D337"/>
  <c r="D333"/>
  <c r="D329"/>
  <c r="D325"/>
  <c r="D319"/>
  <c r="D315"/>
  <c r="D311"/>
  <c r="D307"/>
  <c r="D303"/>
  <c r="D299"/>
  <c r="D295"/>
  <c r="D291"/>
  <c r="D287"/>
  <c r="D283"/>
  <c r="D279"/>
  <c r="D275"/>
  <c r="D271"/>
  <c r="D267"/>
  <c r="D263"/>
  <c r="D259"/>
  <c r="D255"/>
  <c r="D251"/>
  <c r="D320"/>
  <c r="D346"/>
  <c r="D342"/>
  <c r="D338"/>
  <c r="D334"/>
  <c r="D330"/>
  <c r="D322"/>
  <c r="D312"/>
  <c r="D304"/>
  <c r="D296"/>
  <c r="D280"/>
  <c r="D276"/>
  <c r="D268"/>
  <c r="D260"/>
  <c r="D252"/>
  <c r="D347"/>
  <c r="D339"/>
  <c r="D331"/>
  <c r="D323"/>
  <c r="D313"/>
  <c r="D297"/>
  <c r="D289"/>
  <c r="D281"/>
  <c r="D265"/>
  <c r="D257"/>
  <c r="D273"/>
  <c r="D305"/>
  <c r="D249"/>
  <c r="D288"/>
  <c r="D248"/>
  <c r="D247"/>
  <c r="D447"/>
  <c r="D359"/>
  <c r="D464"/>
  <c r="D460"/>
  <c r="D456"/>
  <c r="D452"/>
  <c r="D448"/>
  <c r="D444"/>
  <c r="D440"/>
  <c r="D436"/>
  <c r="D432"/>
  <c r="D428"/>
  <c r="D424"/>
  <c r="D420"/>
  <c r="D412"/>
  <c r="D408"/>
  <c r="D404"/>
  <c r="D400"/>
  <c r="D396"/>
  <c r="D392"/>
  <c r="D388"/>
  <c r="D384"/>
  <c r="D380"/>
  <c r="D376"/>
  <c r="D372"/>
  <c r="D364"/>
  <c r="D465"/>
  <c r="D461"/>
  <c r="D457"/>
  <c r="D453"/>
  <c r="D449"/>
  <c r="D445"/>
  <c r="D441"/>
  <c r="D437"/>
  <c r="D433"/>
  <c r="D429"/>
  <c r="D425"/>
  <c r="D421"/>
  <c r="D417"/>
  <c r="D409"/>
  <c r="D405"/>
  <c r="D401"/>
  <c r="D397"/>
  <c r="D393"/>
  <c r="D389"/>
  <c r="D385"/>
  <c r="D381"/>
  <c r="D377"/>
  <c r="D373"/>
  <c r="D369"/>
  <c r="D365"/>
  <c r="D462"/>
  <c r="D458"/>
  <c r="D454"/>
  <c r="D450"/>
  <c r="D446"/>
  <c r="D442"/>
  <c r="D438"/>
  <c r="D430"/>
  <c r="D426"/>
  <c r="D422"/>
  <c r="D418"/>
  <c r="D414"/>
  <c r="D410"/>
  <c r="D406"/>
  <c r="D402"/>
  <c r="D398"/>
  <c r="D390"/>
  <c r="D382"/>
  <c r="D378"/>
  <c r="D374"/>
  <c r="D370"/>
  <c r="D366"/>
  <c r="D361"/>
  <c r="D463"/>
  <c r="D459"/>
  <c r="D455"/>
  <c r="D451"/>
  <c r="D443"/>
  <c r="D439"/>
  <c r="D435"/>
  <c r="D431"/>
  <c r="D427"/>
  <c r="D423"/>
  <c r="D419"/>
  <c r="D415"/>
  <c r="D411"/>
  <c r="D407"/>
  <c r="D403"/>
  <c r="D399"/>
  <c r="D395"/>
  <c r="D391"/>
  <c r="D387"/>
  <c r="D383"/>
  <c r="D379"/>
  <c r="D375"/>
  <c r="D371"/>
  <c r="D363"/>
  <c r="D357"/>
  <c r="D358"/>
  <c r="D354"/>
  <c r="D356"/>
  <c r="D362"/>
  <c r="D413"/>
  <c r="D360"/>
  <c r="D367"/>
  <c r="D386"/>
  <c r="D355"/>
  <c r="D434"/>
  <c r="D416"/>
  <c r="D394"/>
  <c r="D192"/>
  <c r="D242"/>
  <c r="D238"/>
  <c r="D234"/>
  <c r="D230"/>
  <c r="D226"/>
  <c r="D222"/>
  <c r="D218"/>
  <c r="D214"/>
  <c r="D209"/>
  <c r="D205"/>
  <c r="D197"/>
  <c r="D193"/>
  <c r="D189"/>
  <c r="D221"/>
  <c r="D200"/>
  <c r="D213"/>
  <c r="D239"/>
  <c r="D235"/>
  <c r="D231"/>
  <c r="D227"/>
  <c r="D223"/>
  <c r="D219"/>
  <c r="D215"/>
  <c r="D210"/>
  <c r="D206"/>
  <c r="D202"/>
  <c r="D198"/>
  <c r="D194"/>
  <c r="D190"/>
  <c r="D186"/>
  <c r="D240"/>
  <c r="D236"/>
  <c r="D232"/>
  <c r="D228"/>
  <c r="D224"/>
  <c r="D220"/>
  <c r="D216"/>
  <c r="D211"/>
  <c r="D207"/>
  <c r="D203"/>
  <c r="D199"/>
  <c r="D195"/>
  <c r="D191"/>
  <c r="D187"/>
  <c r="D241"/>
  <c r="D237"/>
  <c r="D233"/>
  <c r="D229"/>
  <c r="D225"/>
  <c r="D217"/>
  <c r="D208"/>
  <c r="D204"/>
  <c r="D196"/>
  <c r="D188"/>
  <c r="D212"/>
  <c r="D350" l="1"/>
  <c r="D468"/>
  <c r="D243"/>
</calcChain>
</file>

<file path=xl/sharedStrings.xml><?xml version="1.0" encoding="utf-8"?>
<sst xmlns="http://schemas.openxmlformats.org/spreadsheetml/2006/main" count="1877" uniqueCount="426">
  <si>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</si>
  <si>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</si>
  <si>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</si>
  <si>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</si>
  <si>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</si>
  <si>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Printing &amp; Stationery</t>
  </si>
  <si>
    <t>General Expenses</t>
  </si>
  <si>
    <t>Advertisement Expenses</t>
  </si>
  <si>
    <t>Misc.Expenses</t>
  </si>
  <si>
    <t>Postal Charges</t>
  </si>
  <si>
    <t>Workshop Expenses</t>
  </si>
  <si>
    <t>Auditor Fees</t>
  </si>
  <si>
    <t>Travelling Expenses</t>
  </si>
  <si>
    <t>Misc. Expenses</t>
  </si>
  <si>
    <t>Exam Expenses</t>
  </si>
  <si>
    <t>Repair &amp; Maintenance</t>
  </si>
  <si>
    <t>Reseatch Related Work</t>
  </si>
  <si>
    <t>Festive &amp; Occasion Expenses</t>
  </si>
  <si>
    <t>Sport Related Expenses</t>
  </si>
  <si>
    <t>Honorarium Expenses</t>
  </si>
  <si>
    <t>Extra Circular Expenses</t>
  </si>
  <si>
    <t>Postal Expenses</t>
  </si>
  <si>
    <t>Research Related Work</t>
  </si>
  <si>
    <t>Donation</t>
  </si>
  <si>
    <t>Books &amp; Periodicals</t>
  </si>
  <si>
    <t>Year:- 2021-2022</t>
  </si>
  <si>
    <t>Year:-2022-2023</t>
  </si>
  <si>
    <t>Year:-2023-2024</t>
  </si>
  <si>
    <t>Year:-2019-2020</t>
  </si>
  <si>
    <t>Year:-2020-2021</t>
  </si>
  <si>
    <t xml:space="preserve">Exam Expenses </t>
  </si>
  <si>
    <t>Answer Script Check ( Academic)</t>
  </si>
  <si>
    <t>Exam Duty (Academic)</t>
  </si>
  <si>
    <t>Remuneration Paid to Office Staff ( Academic)</t>
  </si>
  <si>
    <t>Conduction Committee ( Academic)</t>
  </si>
  <si>
    <t>Assistant Officer in Charge (( Academic)</t>
  </si>
  <si>
    <t>Officer in Charge ( Academic)</t>
  </si>
  <si>
    <t>Answer Script Despatch (HS) ( Academic)</t>
  </si>
  <si>
    <t>Transportation Charges (Physical)</t>
  </si>
  <si>
    <t>Invigilators (Academic)</t>
  </si>
  <si>
    <t>Internal Examiner (Acamedic)</t>
  </si>
  <si>
    <t>Expenditure of College Week ( Academic)</t>
  </si>
  <si>
    <t>Occassional Expenses</t>
  </si>
  <si>
    <t>Exam Expenditure</t>
  </si>
  <si>
    <t>Invigilator (Academic)</t>
  </si>
  <si>
    <t>Despatch of Answer Script (Academic)</t>
  </si>
  <si>
    <t>Mark Entry of Internal Assessment (Academic)</t>
  </si>
  <si>
    <t>Copy Check (Academic)</t>
  </si>
  <si>
    <t>Practical Expenditure (Academic)</t>
  </si>
  <si>
    <t>External Examiner (Academic)</t>
  </si>
  <si>
    <t>Expenses for Resource Person of Psychological (Academic)</t>
  </si>
  <si>
    <t>Xerox Paper (Physical)</t>
  </si>
  <si>
    <t>Stationery (Physical)</t>
  </si>
  <si>
    <t>Electrician Payments (Physical)</t>
  </si>
  <si>
    <t>Banner (Physical)</t>
  </si>
  <si>
    <t>Transportation (Physical)</t>
  </si>
  <si>
    <t>Telephone Bill (Physical)</t>
  </si>
  <si>
    <t>Diesel for Generator (Physical)</t>
  </si>
  <si>
    <t>Carrying Charges (Physical)</t>
  </si>
  <si>
    <t>Painting Work (Physical)</t>
  </si>
  <si>
    <t>Yoga Mate (Physical)</t>
  </si>
  <si>
    <t>Sport Material (Physical)</t>
  </si>
  <si>
    <t>Finger Print Sensor (Physical)</t>
  </si>
  <si>
    <t>Electricity Bill (Physical)</t>
  </si>
  <si>
    <t>Repairing (Physical)</t>
  </si>
  <si>
    <t>Diesel (Physical)</t>
  </si>
  <si>
    <t>Misc. Expenses (Physical)</t>
  </si>
  <si>
    <t>Expenditure of Petty Cash (Physical)</t>
  </si>
  <si>
    <t>Electrician Payment (Physical)</t>
  </si>
  <si>
    <t>Electrical Goods (Physical)</t>
  </si>
  <si>
    <t>Fitting Charges (Physical)</t>
  </si>
  <si>
    <t>Show Piece for Govt for N.C.C Programme (Physical)</t>
  </si>
  <si>
    <t>Refilling Fire Extinguesher (Physical)</t>
  </si>
  <si>
    <t>Repairing Printer (Physical)</t>
  </si>
  <si>
    <t>J.C.B Work (Physical)</t>
  </si>
  <si>
    <t>Gas Bill (Physical)</t>
  </si>
  <si>
    <t>Garbbage Carrying (Physical)</t>
  </si>
  <si>
    <t>Electrical Cahrges (Physical)</t>
  </si>
  <si>
    <t>Carpenter Work (Physical)</t>
  </si>
  <si>
    <t>Cleaning Safety Tank (Physical)</t>
  </si>
  <si>
    <t>Welding Work (Physical)</t>
  </si>
  <si>
    <t>Misc.Expenses (Physical)</t>
  </si>
  <si>
    <t>Misc Expenses (Physical)</t>
  </si>
  <si>
    <t>National Flag (Physical)</t>
  </si>
  <si>
    <t>Student Union Badge (Physical)</t>
  </si>
  <si>
    <t>Blazer for Student Union (Physical)</t>
  </si>
  <si>
    <t>Free Health Check-Up (Physical)</t>
  </si>
  <si>
    <t>Medical Expenses (Physical)</t>
  </si>
  <si>
    <t>Stationery Goods (Physical)</t>
  </si>
  <si>
    <t>Invigilators H.S Final Exam (Academic)</t>
  </si>
  <si>
    <t>Copy Check H.S Final Eaxm (Academic)</t>
  </si>
  <si>
    <t>Conduction Committee (Academic)</t>
  </si>
  <si>
    <t>Resource Person (Academic)</t>
  </si>
  <si>
    <t>Books  (Academic)</t>
  </si>
  <si>
    <t>Printing  (Academic)</t>
  </si>
  <si>
    <t>Workshop for House Wives Career Counsilling  (Academic)</t>
  </si>
  <si>
    <t>Asst.Co-Ordinator IQAC  (Academic)</t>
  </si>
  <si>
    <t>Practical Goods  (Academic)</t>
  </si>
  <si>
    <t>Join in Yoga Competition  (Academic)</t>
  </si>
  <si>
    <t>Internal Examiner PMKVY Skill Test (Academic)</t>
  </si>
  <si>
    <t>Motivitional Talk (Academic)</t>
  </si>
  <si>
    <t>Sport Affiliation Fees (Academic)</t>
  </si>
  <si>
    <t>Judgement in Khelo India (Academic)</t>
  </si>
  <si>
    <t>Joining  Fees Kho-Kho/ Karate Competition (Academic)</t>
  </si>
  <si>
    <t>I.C Athletic's Tournament (Academic)</t>
  </si>
  <si>
    <t>Expenditure of Free Teaching (Academic)</t>
  </si>
  <si>
    <t>Remuneration Paid to Resource Person (Academic)</t>
  </si>
  <si>
    <t>Expenditure for HSC Class Practical (Academic)</t>
  </si>
  <si>
    <t>Distance Education Fees Paid (Academic)</t>
  </si>
  <si>
    <t>N.C.C Programe (Academic)</t>
  </si>
  <si>
    <t>Workshop on Creating ECO-System (Academic)</t>
  </si>
  <si>
    <t>Enviroment Audit Fees (Academic)</t>
  </si>
  <si>
    <t>Counciling Seminer (Academic)</t>
  </si>
  <si>
    <t>Remuneration Paid to Interview Expert (Academic)</t>
  </si>
  <si>
    <t>Enrolement Fees Paid to  D.U (Academic)</t>
  </si>
  <si>
    <t>Auditor Fees (Academic)</t>
  </si>
  <si>
    <t>Registration Fees Paid to D.U (Academic)</t>
  </si>
  <si>
    <t>H.S Registration Fees Paid (Academic)</t>
  </si>
  <si>
    <t>Project Work Sociology (Academic)</t>
  </si>
  <si>
    <t>Exam Fees Paid (Academic)</t>
  </si>
  <si>
    <t>External of H.S Practical Examiner (Academic)</t>
  </si>
  <si>
    <t>News Paper Bill (Academic)</t>
  </si>
  <si>
    <t>Nisha Mukt Bharat Abhijan (Academic)</t>
  </si>
  <si>
    <t>Seminar Grant Paid  (Academic)</t>
  </si>
  <si>
    <t>News Paper &amp; Magazine Bill (Academic)</t>
  </si>
  <si>
    <t>Book Journal (Academic)</t>
  </si>
  <si>
    <t>Library Card  (Academic)</t>
  </si>
  <si>
    <t>Website Renewal (Academic)</t>
  </si>
  <si>
    <t>Wall Magazine (Academic)</t>
  </si>
  <si>
    <t>News Letter Printing (Academic)</t>
  </si>
  <si>
    <t>Expenditure of Annual College Magazine (Academic)</t>
  </si>
  <si>
    <t>Book Printing (Academic)</t>
  </si>
  <si>
    <t>N.S.S Program (Academic)</t>
  </si>
  <si>
    <t>Final Paid Organised Special Camp (Academic)</t>
  </si>
  <si>
    <t>N.S.S Pre-Republic Day (Academic)</t>
  </si>
  <si>
    <t>Field Programe Expenses (Academic)</t>
  </si>
  <si>
    <t>Best Student Award (Academic)</t>
  </si>
  <si>
    <t>Join in Debate Competition (Academic)</t>
  </si>
  <si>
    <t>Adv.Paid to Drama Teacher (Academic)</t>
  </si>
  <si>
    <t>Students Group Insurance (Academic)</t>
  </si>
  <si>
    <t>Expenses for Awarness Programe Women Cell  (Academic)</t>
  </si>
  <si>
    <t>Expenses of Nutrition Month Celebration (Academic)</t>
  </si>
  <si>
    <t>Expenses of Mental Health Day (Academic)</t>
  </si>
  <si>
    <t>Program Research Scholars (Academic)</t>
  </si>
  <si>
    <t>Percentage (%)</t>
  </si>
  <si>
    <t>Printing &amp; Stationery (Physical)</t>
  </si>
  <si>
    <t>Garbage Carring (Physical)</t>
  </si>
  <si>
    <t>Expenses for Saraswati Puja (Physical)</t>
  </si>
  <si>
    <t>Donation for Flood Relief (Physical)</t>
  </si>
  <si>
    <t>Visiting Old Age Ashram (Physical)</t>
  </si>
  <si>
    <t>Street Light (Physical)</t>
  </si>
  <si>
    <t>Laboure Payments (Physical)</t>
  </si>
  <si>
    <t>Expenditure of Independence Day (Physical)</t>
  </si>
  <si>
    <t>GIC Premium (Physical)</t>
  </si>
  <si>
    <t>Labour Payment (Physical)</t>
  </si>
  <si>
    <t>Sweeper Payment (Physical)</t>
  </si>
  <si>
    <t>Painting/Welding Expenses (Physical)</t>
  </si>
  <si>
    <t>Painting Materials (Physical)</t>
  </si>
  <si>
    <t>Dustbin  (Physical)</t>
  </si>
  <si>
    <t>Grocery Goods for Youth Festival  (Physical)</t>
  </si>
  <si>
    <t>National Flag  (Physical)</t>
  </si>
  <si>
    <t>Entering Internal Marks (Academic)</t>
  </si>
  <si>
    <t>H.S 1st Year Copy Exam Copy Checked (Academic)</t>
  </si>
  <si>
    <t>Remuneration Paid (Academic)</t>
  </si>
  <si>
    <t>Expenditure for Writen Exam for Class 3 / 4 Grade Post Under State Level (Academic)</t>
  </si>
  <si>
    <t>Expenditure For Youth Festival  (Academic)</t>
  </si>
  <si>
    <t>Extra Curricular Activities Expenses (Academic)</t>
  </si>
  <si>
    <t>Registration Fees (Academic)</t>
  </si>
  <si>
    <t>Youth Festival Expenses (Academic)</t>
  </si>
  <si>
    <t>Workshop Expenses (Academic)</t>
  </si>
  <si>
    <t>Expenses of Alumini Meeting (Academic)</t>
  </si>
  <si>
    <t>Career Counciling Programme (Academic)</t>
  </si>
  <si>
    <t>Career Guidance (Academic)</t>
  </si>
  <si>
    <t>Minor Research Project (Academic)</t>
  </si>
  <si>
    <t>Conducting MRP Studies (Academic)</t>
  </si>
  <si>
    <t>65% IACT Computer Centre Fees Paid  (Academic)</t>
  </si>
  <si>
    <t>Weaving Handloom (Academic)</t>
  </si>
  <si>
    <t>Expenditure of College Week (Academic)</t>
  </si>
  <si>
    <t>Sports Affilication Fees (2021-2022) (Academic)</t>
  </si>
  <si>
    <t>Join Fees Yoga Tournament (Academic)</t>
  </si>
  <si>
    <t>Sports Affilication Fees (2022-2023) (Academic)</t>
  </si>
  <si>
    <t>Registration Fees D.U. (Academic)</t>
  </si>
  <si>
    <t>Expenditure for Interview (Academic)</t>
  </si>
  <si>
    <t>Affiliation Fees Paid (Academic)</t>
  </si>
  <si>
    <t>Enrolement Fees Paid to D.U (Academic)</t>
  </si>
  <si>
    <t>Expenditure of H.S.C  Practical (Academic)</t>
  </si>
  <si>
    <t>College Website Renewal Paid  (Academic)</t>
  </si>
  <si>
    <t>Resource Person of Workshop (Academic)</t>
  </si>
  <si>
    <t>Expenditure of Enviroment Day (Academic)</t>
  </si>
  <si>
    <t>Registration Fees of Workshop (Academic)</t>
  </si>
  <si>
    <t>70% Tution Fees Paid to DHE (Academic)</t>
  </si>
  <si>
    <t>Permission Fees (Academic)</t>
  </si>
  <si>
    <t>H.S Registration Fees Paid to AHSEC (Academic)</t>
  </si>
  <si>
    <t>Expenses for N.C.C  Programme (Academic)</t>
  </si>
  <si>
    <t>Seat Booking for Youth Festival (Academic)</t>
  </si>
  <si>
    <t>Expenses for Media Management for Youth Festival  (Academic)</t>
  </si>
  <si>
    <t>Remuneration Paid to Interview Expert of Eco Education (Academic)</t>
  </si>
  <si>
    <t>H.S 1st Year Exam Fees (Academic)</t>
  </si>
  <si>
    <t>Remuneration Paid to Office Staff (Academic)</t>
  </si>
  <si>
    <t>Remuneration of Exam Conduction Member (Academic)</t>
  </si>
  <si>
    <t>Office In-Charge (Academic)</t>
  </si>
  <si>
    <t>Expenditure of H.S Practical Exam (Academic)</t>
  </si>
  <si>
    <t>Asst.Officer In-Charge (Academic)</t>
  </si>
  <si>
    <t>Internal Examiner (Academic)</t>
  </si>
  <si>
    <t>Despatch Answer Scripts (Academic)</t>
  </si>
  <si>
    <t>Psychological Workshop (Academic)</t>
  </si>
  <si>
    <t>Newspaper (Academic)</t>
  </si>
  <si>
    <t>Books Purchased (Academic)</t>
  </si>
  <si>
    <t>E Book/Journal (Academic)</t>
  </si>
  <si>
    <t>Newspaper &amp; Magazine (Academic)</t>
  </si>
  <si>
    <t>Subscription Journal (Academic)</t>
  </si>
  <si>
    <t>Magazine Cover Design (Academic)</t>
  </si>
  <si>
    <t>Wall Magazine Competition (Academic)</t>
  </si>
  <si>
    <t>Expenditure of College Magazine (Academic)</t>
  </si>
  <si>
    <t>Inter College Youth Festival (Academic)</t>
  </si>
  <si>
    <t>Workshop on World Blood Doner Day (Academic)</t>
  </si>
  <si>
    <t>Advance Paid for N.S.S Special Camp Organised (Academic)</t>
  </si>
  <si>
    <t>Participate Culture Programme (Academic)</t>
  </si>
  <si>
    <t>Join in Bihu Competition (Academic)</t>
  </si>
  <si>
    <t>Rabha Sangit Comnpetition Expenses (Academic)</t>
  </si>
  <si>
    <t>Expenses of College Week (Academic)</t>
  </si>
  <si>
    <t>Banner  Expenses (Academic)</t>
  </si>
  <si>
    <t>NCC Unit (Academic)</t>
  </si>
  <si>
    <t>Yoga Competition (Academic)</t>
  </si>
  <si>
    <t>World Enviroment Day (Academic)</t>
  </si>
  <si>
    <t>International Yoga Day (Academic)</t>
  </si>
  <si>
    <t>Joining Fees For Quiz Competition (Academic)</t>
  </si>
  <si>
    <t>Expenditure of Fresher Social (Academic)</t>
  </si>
  <si>
    <t>Rhino Day (Academic)</t>
  </si>
  <si>
    <t>Expenses for Union Election (Academic)</t>
  </si>
  <si>
    <t>Musician Party(Youth Festival) (Academic)</t>
  </si>
  <si>
    <t>Joining Fees,Youth Festival (Academic)</t>
  </si>
  <si>
    <t>Internal Examiner of Practical Exam (Academic)</t>
  </si>
  <si>
    <t>Despatch (Postal Charges) (Academic)</t>
  </si>
  <si>
    <t>Baner (Physical)</t>
  </si>
  <si>
    <t>Water Tank Unload Expenses  (Physical)</t>
  </si>
  <si>
    <t>Repairing &amp; Maintenance  (Physical)</t>
  </si>
  <si>
    <t>Water Pump Fitting (Physical)</t>
  </si>
  <si>
    <t>Electrician Payment  (Physical)</t>
  </si>
  <si>
    <t>Decorating Expenses (Physical)</t>
  </si>
  <si>
    <t>Notice Board Expenses (Physical)</t>
  </si>
  <si>
    <t>Student Union Common Room Expenses (Physical)</t>
  </si>
  <si>
    <t>Water Tank Rent (Physical)</t>
  </si>
  <si>
    <t>Petty Cash (Physical)</t>
  </si>
  <si>
    <t>Fuel &amp; Power (Physical)</t>
  </si>
  <si>
    <t>Name Plate Display Stand (Physical)</t>
  </si>
  <si>
    <t>Gas Bill Paid (Physical)</t>
  </si>
  <si>
    <t>Electricity Bill Paid (Physical)</t>
  </si>
  <si>
    <t>Painting Expenses (Physical)</t>
  </si>
  <si>
    <t>Advertisement (Academic)</t>
  </si>
  <si>
    <t>Online Certificate (Academic)</t>
  </si>
  <si>
    <t>Online Admission (Academic)</t>
  </si>
  <si>
    <t>N.C.C Camp Expenses (Academic)</t>
  </si>
  <si>
    <t>Registration Fees (H.S) (Academic)</t>
  </si>
  <si>
    <t>Registration of Alumni Association (Academic)</t>
  </si>
  <si>
    <t>Hindi Deptt.Interview Expenses (Academic)</t>
  </si>
  <si>
    <t>Webinar Expenses (Academic)</t>
  </si>
  <si>
    <t>Officer-In-Charge (Academic)</t>
  </si>
  <si>
    <t>Exam Fees to D.U (Academic)</t>
  </si>
  <si>
    <t>Online Exam Work (Academic)</t>
  </si>
  <si>
    <t>External Examiner of Practical Exam (Academic)</t>
  </si>
  <si>
    <t>Despatch Answer Script (Academic)</t>
  </si>
  <si>
    <t>Remuneration for Office Staff (Academic)</t>
  </si>
  <si>
    <t>Remuneration for Teaching Staff (Academic)</t>
  </si>
  <si>
    <t>HSC Practical Exam (Academic)</t>
  </si>
  <si>
    <t>Conduction Committee Remuneration (Academic)</t>
  </si>
  <si>
    <t>Internal Examiner for Practical Exam (Academic)</t>
  </si>
  <si>
    <t>B.A Semister Exam Form Fillup Expenses (Academic)</t>
  </si>
  <si>
    <t>Computer Course Fees (Academic)</t>
  </si>
  <si>
    <t>Webinar IQAC (Academic)</t>
  </si>
  <si>
    <t>Webinar Resource Person (Academic)</t>
  </si>
  <si>
    <t>Seminar Expenses (Academic)</t>
  </si>
  <si>
    <t>Software Admin &amp; Communication (Academic)</t>
  </si>
  <si>
    <t>Organizing Talk by Women Cell (Academic)</t>
  </si>
  <si>
    <t>College Magazine Expenses (Academic)</t>
  </si>
  <si>
    <t>Full Scrap Paper (Academic)</t>
  </si>
  <si>
    <t>College Week Expenses (Academic)</t>
  </si>
  <si>
    <t>Quiz Competition (Academic)</t>
  </si>
  <si>
    <t>Prize Money Competition (Academic)</t>
  </si>
  <si>
    <t>Merit Award (Academic)</t>
  </si>
  <si>
    <t>Publication Book (Academic)</t>
  </si>
  <si>
    <t>Examination Fees to AHSEC (Academic)</t>
  </si>
  <si>
    <t>Practical Goods (Academic)</t>
  </si>
  <si>
    <t>Official Staff Remuneration (Academic)</t>
  </si>
  <si>
    <t>Exam Duty Invigilators (Academic)</t>
  </si>
  <si>
    <t>Asst Officer-In-Charge (Academic)</t>
  </si>
  <si>
    <t>Student Excursion Train Ticket (Academic)</t>
  </si>
  <si>
    <t>Yoga Teacher (Academic)</t>
  </si>
  <si>
    <t>NCC Programme (Academic)</t>
  </si>
  <si>
    <t>Printing &amp; Stationeries (Physical)</t>
  </si>
  <si>
    <t>Banner Making (Physical)</t>
  </si>
  <si>
    <t>Remuneration to G.B Member (Physical)</t>
  </si>
  <si>
    <t>Wifi Recharge (Physical)</t>
  </si>
  <si>
    <t>Telephone Charges (Physical)</t>
  </si>
  <si>
    <t>Computer Accessories (Physical)</t>
  </si>
  <si>
    <t>Zoom App Expenses (Physical)</t>
  </si>
  <si>
    <t>Curtain Cloth etc. (Physical)</t>
  </si>
  <si>
    <t>DVR Box (Physical)</t>
  </si>
  <si>
    <t>Electerical Goods (Physical)</t>
  </si>
  <si>
    <t>Glass,Flush Door etc. (Physical)</t>
  </si>
  <si>
    <t>Hand Sanitizer (Physical)</t>
  </si>
  <si>
    <t>Administrative Items (Physical)</t>
  </si>
  <si>
    <t>Distribution of Food (Physical)</t>
  </si>
  <si>
    <t>Mask (Physical)</t>
  </si>
  <si>
    <t>Door Fitting Charges (Physical)</t>
  </si>
  <si>
    <t>Saraswati Puja Expenses (Physical)</t>
  </si>
  <si>
    <t>Water Pipe Accessories (Physical)</t>
  </si>
  <si>
    <t>Fire Extinguisher Refiling (Physical)</t>
  </si>
  <si>
    <t>Electerical Maintenance (Physical)</t>
  </si>
  <si>
    <t>Republic Day Expenses (Physical)</t>
  </si>
  <si>
    <t>Food Distribution (Physical)</t>
  </si>
  <si>
    <t>Health &amp; Hygiene (Physical)</t>
  </si>
  <si>
    <t>H.S Registration Fees (Academic)</t>
  </si>
  <si>
    <t>Workshop (Academic)</t>
  </si>
  <si>
    <t>Banner (Academic)</t>
  </si>
  <si>
    <t>Registration Fees H.S (Academic)</t>
  </si>
  <si>
    <t>HSC Practical Expenses (Academic)</t>
  </si>
  <si>
    <t>Printing Expenses (Academic)</t>
  </si>
  <si>
    <t>Affiliation Fees (Academic)</t>
  </si>
  <si>
    <t>Enrolment Fees (Academic)</t>
  </si>
  <si>
    <t>Permission Fees for History (Academic)</t>
  </si>
  <si>
    <t>Teacher's &amp; Parent's Meet (Academic)</t>
  </si>
  <si>
    <t>Interview Remuneration  (Academic)</t>
  </si>
  <si>
    <t>Regn. Principal Council (Academic)</t>
  </si>
  <si>
    <t>News Paper &amp; Magazine (Academic)</t>
  </si>
  <si>
    <t>Carrying Charges (Academic)</t>
  </si>
  <si>
    <t>Question Bank (Academic)</t>
  </si>
  <si>
    <t>Practical Exam Expenses (Academic)</t>
  </si>
  <si>
    <t>Practical Borad (Academic)</t>
  </si>
  <si>
    <t>External Examiner Practical Exam (Academic)</t>
  </si>
  <si>
    <t>Remuneration (Academic)</t>
  </si>
  <si>
    <t>Remuneration for Office &amp; Teaching Staff (Academic)</t>
  </si>
  <si>
    <t>SKB(TTMG) Expenses (Academic)</t>
  </si>
  <si>
    <t>Photo Copy Expenses (Academic)</t>
  </si>
  <si>
    <t>Banking Practical Class Expenses (Academic)</t>
  </si>
  <si>
    <t>Faculty Development Programme (Academic)</t>
  </si>
  <si>
    <t>College Foundation Day (Academic)</t>
  </si>
  <si>
    <t>Teacher's Day Expenses (Academic)</t>
  </si>
  <si>
    <t>Beautician Class Equipment (Academic)</t>
  </si>
  <si>
    <t>Salary for Beaitician Course (Academic)</t>
  </si>
  <si>
    <t>Salary for Baking Teacher (Academic)</t>
  </si>
  <si>
    <t>Seminar (Academic)</t>
  </si>
  <si>
    <t>MRP(HSC) (Academic)</t>
  </si>
  <si>
    <t>MRP(ECO) (Academic)</t>
  </si>
  <si>
    <t>Workshop Registration Fees (Academic)</t>
  </si>
  <si>
    <t>Women Day Expenses (Academic)</t>
  </si>
  <si>
    <t>Baking Practical Goods (Academic)</t>
  </si>
  <si>
    <t>Dairy Book (Academic)</t>
  </si>
  <si>
    <t>Student Annual Affiliation Fees (D.U) (Academic)</t>
  </si>
  <si>
    <t>Fees for Youth Festival Competition (Academic)</t>
  </si>
  <si>
    <t>Full Scrap Paper  (Academic)</t>
  </si>
  <si>
    <t>Teacher Day Amt.to DHE, Assam (Academic)</t>
  </si>
  <si>
    <t>Kerata Competation (Academic)</t>
  </si>
  <si>
    <t>HSC .1st yr Answer Checkup (Academic)</t>
  </si>
  <si>
    <t>Remuneration to Conduction Committee (Academic)</t>
  </si>
  <si>
    <t>Asstt.Officer-In-Charge (Academic)</t>
  </si>
  <si>
    <t>Answer Script Despatch (Academic)</t>
  </si>
  <si>
    <t>Seminer Grant to Bengali Deptt. (Academic)</t>
  </si>
  <si>
    <t>Ticket Booking (Academic)</t>
  </si>
  <si>
    <t>Seminer Grant to Encharged Ethnic Culture (Academic)</t>
  </si>
  <si>
    <t>National Seminer of Pol.Science (Academic)</t>
  </si>
  <si>
    <t>Enviroment Day (Academic)</t>
  </si>
  <si>
    <t>Unnat Bharat Abhijan (Academic)</t>
  </si>
  <si>
    <t>Fire Extinguisher (Physical)</t>
  </si>
  <si>
    <t>Cable T.V Subscription (Physical)</t>
  </si>
  <si>
    <t>Jio Fiber Recharge (Physical)</t>
  </si>
  <si>
    <t>Computer Assessories (Physical)</t>
  </si>
  <si>
    <t>Architech Fees (Physical)</t>
  </si>
  <si>
    <t>Generator Servicing Charges (Physical)</t>
  </si>
  <si>
    <t>Conference Room Curtain (Physical)</t>
  </si>
  <si>
    <t>Water Line Repairing (Physical)</t>
  </si>
  <si>
    <t>Gas Expenses (Physical)</t>
  </si>
  <si>
    <t>Safety Tank Cleaning (Physical)</t>
  </si>
  <si>
    <t>Cylinder Gas (Physical)</t>
  </si>
  <si>
    <t>Fresher (Physical)</t>
  </si>
  <si>
    <t>Gas Burner (Physical)</t>
  </si>
  <si>
    <t>Videography Expenses for Boxing Competition (Physical)</t>
  </si>
  <si>
    <t>Boxing Jerssey (Physical)</t>
  </si>
  <si>
    <t>Sports Affiliation Fees (Physical)</t>
  </si>
  <si>
    <t>Book Gift (Physical)</t>
  </si>
  <si>
    <t>Electric Kettle (Physical)</t>
  </si>
  <si>
    <t>Farewel Expenses  (Physical)</t>
  </si>
  <si>
    <t>Fresher Social Expenses (Physical)</t>
  </si>
  <si>
    <t>Music System (Physical)</t>
  </si>
  <si>
    <t>Elecical Goods (Physical)</t>
  </si>
  <si>
    <t>Donation (Physical)</t>
  </si>
  <si>
    <t>Eye Checkup Camp (Academic)</t>
  </si>
  <si>
    <t>Ocassion of Bhupen Hazarika (Academic)</t>
  </si>
  <si>
    <t>Awareness Programme (Academic)</t>
  </si>
  <si>
    <t>Interview Expenses  (Academic)</t>
  </si>
  <si>
    <t>Expenses for LDA Interview  (Academic)</t>
  </si>
  <si>
    <t>Advertisement  (Academic)</t>
  </si>
  <si>
    <t>Expenses for Saraswati Puja ( Academic)</t>
  </si>
  <si>
    <t>Dista Paper &amp; Xerox Paper  (Physical)</t>
  </si>
  <si>
    <t>Internet Charges  (Physical)</t>
  </si>
  <si>
    <t>Internal Examinar of Practical Exam (Academic)</t>
  </si>
  <si>
    <t>Invigilator hor H.S 2nd year Pre-Final Exam (Academic)</t>
  </si>
  <si>
    <t>Invigilator for 3rd Sem CBSC Exam Duty (Academic)</t>
  </si>
  <si>
    <t>Examination Work (Academic)</t>
  </si>
  <si>
    <t>Karate Championship (Academic)</t>
  </si>
  <si>
    <t>Inter College Kabadi Campionship (Academic)</t>
  </si>
  <si>
    <t>College Website Renewal Expenses (Academic)</t>
  </si>
  <si>
    <t>ICT Academy Membership (Academic)</t>
  </si>
  <si>
    <t>Registration Fees for NCC (Academic)</t>
  </si>
  <si>
    <t>I Card Fees Paid (Academic)</t>
  </si>
  <si>
    <t>Exam Fees Paid Distance Education (Academic)</t>
  </si>
  <si>
    <t>Admission Fees Paid to Distance Education (Academic)</t>
  </si>
  <si>
    <t>Projector Ceiling Mount (Academic)</t>
  </si>
  <si>
    <t>Affilication Fees Paid to D.U (Academic)</t>
  </si>
  <si>
    <t>Students Enrollment Fees (2021-2022) (III) (Academic)</t>
  </si>
  <si>
    <t>Postal Charges (Academic)</t>
  </si>
  <si>
    <t>Expenditure of Tet Exam (Academic)</t>
  </si>
  <si>
    <t>Practical External Examiner of HSC (Academic)</t>
  </si>
  <si>
    <t>Expenditutr of Practical Exam (Academic)</t>
  </si>
  <si>
    <t>Postal Charge of answer Scripts (Academic)</t>
  </si>
  <si>
    <t>Online workshop on International Yoga Day  (Academic)</t>
  </si>
  <si>
    <t>Yoga Camp (Academic)</t>
  </si>
  <si>
    <t>Certificate Printing (Academic)</t>
  </si>
  <si>
    <t>Prize Money for Speech Competition (Academic)</t>
  </si>
  <si>
    <t>N.S.S Programme (Academic)</t>
  </si>
  <si>
    <t>Paid to Drama Teacher (Academic)</t>
  </si>
  <si>
    <t>Exam Fees Paid to D.U (Academic)</t>
  </si>
  <si>
    <t>Dispatch Answer Script (Academic)</t>
  </si>
  <si>
    <t>CCTV Servicing Charges (Physical)</t>
  </si>
  <si>
    <t>Advertisement Expenses (Academic)</t>
  </si>
  <si>
    <t>Participate North East Graduate Congress (Academic)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</si>
</sst>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Font="1" applyBorder="1"/>
    <xf numFmtId="2" fontId="2" fillId="0" borderId="3" xfId="0" applyNumberFormat="1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3" xfId="0" applyFont="1" applyFill="1" applyBorder="1"/>
    <xf numFmtId="2" fontId="3" fillId="0" borderId="3" xfId="0" applyNumberFormat="1" applyFont="1" applyBorder="1"/>
    <xf numFmtId="2" fontId="2" fillId="2" borderId="3" xfId="0" applyNumberFormat="1" applyFont="1" applyFill="1" applyBorder="1"/>
    <xf numFmtId="2" fontId="3" fillId="0" borderId="3" xfId="0" applyNumberFormat="1" applyFont="1" applyFill="1" applyBorder="1"/>
    <xf numFmtId="2" fontId="1" fillId="0" borderId="3" xfId="0" applyNumberFormat="1" applyFont="1" applyBorder="1"/>
    <xf numFmtId="0" fontId="0" fillId="0" borderId="3" xfId="0" applyBorder="1"/>
    <xf numFmtId="0" fontId="0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0" fillId="2" borderId="2" xfId="0" applyFill="1" applyBorder="1" applyAlignment="1">
      <alignment vertical="top" wrapText="1"/>
    </xf>
    <xf numFmtId="2" fontId="0" fillId="0" borderId="3" xfId="0" applyNumberFormat="1" applyBorder="1"/>
    <xf numFmtId="0" fontId="0" fillId="2" borderId="0" xfId="0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2" fontId="0" fillId="0" borderId="3" xfId="0" applyNumberFormat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top" wrapText="1"/>
    </xf>
    <xf numFmtId="2" fontId="0" fillId="0" borderId="3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3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vertical="top" wrapText="1"/>
    </xf>
    <xf numFmtId="0" fontId="0" fillId="0" borderId="0" xfId="0" applyBorder="1"/>
  </cellXfs>
  <cellStyles count="2">
    <cellStyle name="Normal" xfId="0" builtinId="0"/>
    <cellStyle name="Percent" xfId="1" builtinId="5"/>
  </cellStyles>
  <dxfs count="1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468"/>
  <sheetViews>
    <sheetView view="pageBreakPreview" topLeftCell="A91" zoomScaleNormal="150" zoomScaleSheetLayoutView="100" workbookViewId="0">
      <selection activeCell="A2" sqref="A2:D106"/>
    </sheetView>
  </sheetViews>
  <sheetFormatPr defaultColWidth="36.28515625" defaultRowHeight="15"/>
  <cols>
    <col min="1" max="1" width="26.85546875" bestFit="1" customWidth="1"/>
    <col min="2" max="2" width="54" customWidth="1"/>
    <col min="3" max="3" width="13.5703125" style="36" customWidth="1"/>
    <col min="4" max="4" width="17.42578125" style="36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>
      <c r="A1" s="46" t="s">
        <v>0</v>
      </c>
      <c r="B1" s="46"/>
      <c r="C1" s="46"/>
      <c r="D1" s="46"/>
      <c r="E1" s="1"/>
      <c r="F1" s="1"/>
      <c r="G1" s="1"/>
      <c r="H1" s="1"/>
      <c r="I1" s="1"/>
    </row>
    <row r="2" spans="1:9" ht="15.75" customHeight="1">
      <c r="A2" s="47" t="s">
        <v>28</v>
      </c>
      <c r="B2" s="47"/>
      <c r="C2" s="47"/>
      <c r="D2" s="47"/>
      <c r="E2" s="2"/>
      <c r="F2" s="2"/>
      <c r="G2" s="2"/>
      <c r="H2" s="2"/>
      <c r="I2" s="2"/>
    </row>
    <row r="3" spans="1:9" ht="63" customHeight="1">
      <c r="A3" s="3" t="s">
        <v>1</v>
      </c>
      <c r="B3" s="3" t="s">
        <v>2</v>
      </c>
      <c r="C3" s="29" t="s">
        <v>3</v>
      </c>
      <c r="D3" s="29" t="s">
        <v>144</v>
      </c>
    </row>
    <row r="4" spans="1:9">
      <c r="A4" s="4" t="s">
        <v>14</v>
      </c>
      <c r="B4" s="6" t="s">
        <v>312</v>
      </c>
      <c r="C4" s="30">
        <f>25700</f>
        <v>25700</v>
      </c>
      <c r="D4" s="37">
        <f>C4/C106*100</f>
        <v>0.68022799548455659</v>
      </c>
    </row>
    <row r="5" spans="1:9">
      <c r="A5" s="4" t="s">
        <v>7</v>
      </c>
      <c r="B5" s="6" t="s">
        <v>249</v>
      </c>
      <c r="C5" s="30">
        <f>56795</f>
        <v>56795</v>
      </c>
      <c r="D5" s="37">
        <f>C5/C106*100</f>
        <v>1.503250933990093</v>
      </c>
    </row>
    <row r="6" spans="1:9">
      <c r="A6" s="4" t="s">
        <v>22</v>
      </c>
      <c r="B6" s="6" t="s">
        <v>313</v>
      </c>
      <c r="C6" s="30">
        <f>2600</f>
        <v>2600</v>
      </c>
      <c r="D6" s="37">
        <f>C6/C106*100</f>
        <v>6.8816840010110777E-2</v>
      </c>
    </row>
    <row r="7" spans="1:9">
      <c r="A7" s="4" t="s">
        <v>15</v>
      </c>
      <c r="B7" s="6" t="s">
        <v>64</v>
      </c>
      <c r="C7" s="30">
        <f>96180</f>
        <v>96180</v>
      </c>
      <c r="D7" s="37">
        <f>C7/C106*100</f>
        <v>2.5456937200663288</v>
      </c>
    </row>
    <row r="8" spans="1:9">
      <c r="A8" s="4" t="s">
        <v>15</v>
      </c>
      <c r="B8" s="6" t="s">
        <v>363</v>
      </c>
      <c r="C8" s="30">
        <f>2200</f>
        <v>2200</v>
      </c>
      <c r="D8" s="37">
        <f>C8/C106*100</f>
        <v>5.8229633854709126E-2</v>
      </c>
    </row>
    <row r="9" spans="1:9">
      <c r="A9" s="4" t="s">
        <v>5</v>
      </c>
      <c r="B9" s="6" t="s">
        <v>52</v>
      </c>
      <c r="C9" s="30">
        <f>109462</f>
        <v>109462</v>
      </c>
      <c r="D9" s="37">
        <f>C9/C106*100</f>
        <v>2.8972419004564411</v>
      </c>
    </row>
    <row r="10" spans="1:9">
      <c r="A10" s="4" t="s">
        <v>8</v>
      </c>
      <c r="B10" s="6" t="s">
        <v>66</v>
      </c>
      <c r="C10" s="30">
        <f>70461</f>
        <v>70461</v>
      </c>
      <c r="D10" s="37">
        <f>C10/C106*100</f>
        <v>1.8649628322893907</v>
      </c>
    </row>
    <row r="11" spans="1:9">
      <c r="A11" s="4" t="s">
        <v>6</v>
      </c>
      <c r="B11" s="6" t="s">
        <v>364</v>
      </c>
      <c r="C11" s="30">
        <f>1460</f>
        <v>1460</v>
      </c>
      <c r="D11" s="37">
        <f>C11/C106*100</f>
        <v>3.8643302467216055E-2</v>
      </c>
    </row>
    <row r="12" spans="1:9">
      <c r="A12" s="4" t="s">
        <v>7</v>
      </c>
      <c r="B12" s="6" t="s">
        <v>314</v>
      </c>
      <c r="C12" s="30">
        <f>11566</f>
        <v>11566</v>
      </c>
      <c r="D12" s="37">
        <f>C12/C106*100</f>
        <v>0.30612906598343897</v>
      </c>
    </row>
    <row r="13" spans="1:9">
      <c r="A13" s="4" t="s">
        <v>14</v>
      </c>
      <c r="B13" s="6" t="s">
        <v>315</v>
      </c>
      <c r="C13" s="30">
        <f>1000</f>
        <v>1000</v>
      </c>
      <c r="D13" s="37">
        <f>C13/C106*100</f>
        <v>2.6468015388504147E-2</v>
      </c>
    </row>
    <row r="14" spans="1:9">
      <c r="A14" s="4" t="s">
        <v>14</v>
      </c>
      <c r="B14" s="6" t="s">
        <v>316</v>
      </c>
      <c r="C14" s="30">
        <f>26300</f>
        <v>26300</v>
      </c>
      <c r="D14" s="37">
        <f>C14/C106*100</f>
        <v>0.69610880471765901</v>
      </c>
    </row>
    <row r="15" spans="1:9">
      <c r="A15" s="4" t="s">
        <v>6</v>
      </c>
      <c r="B15" s="6" t="s">
        <v>365</v>
      </c>
      <c r="C15" s="30">
        <f>196</f>
        <v>196</v>
      </c>
      <c r="D15" s="37">
        <f>C15/C106*100</f>
        <v>5.1877310161468132E-3</v>
      </c>
    </row>
    <row r="16" spans="1:9">
      <c r="A16" s="4" t="s">
        <v>6</v>
      </c>
      <c r="B16" s="6" t="s">
        <v>293</v>
      </c>
      <c r="C16" s="30">
        <f>27377</f>
        <v>27377</v>
      </c>
      <c r="D16" s="37">
        <f>C16/C106*100</f>
        <v>0.724614857291078</v>
      </c>
    </row>
    <row r="17" spans="1:4">
      <c r="A17" s="4" t="s">
        <v>5</v>
      </c>
      <c r="B17" s="6" t="s">
        <v>317</v>
      </c>
      <c r="C17" s="30">
        <f>73477</f>
        <v>73477</v>
      </c>
      <c r="D17" s="37">
        <f>C17/C106*100</f>
        <v>1.9447903667011193</v>
      </c>
    </row>
    <row r="18" spans="1:4">
      <c r="A18" s="4" t="s">
        <v>6</v>
      </c>
      <c r="B18" s="6" t="s">
        <v>153</v>
      </c>
      <c r="C18" s="30">
        <f>11624</f>
        <v>11624</v>
      </c>
      <c r="D18" s="37">
        <f>C18/C106*100</f>
        <v>0.30766421087597223</v>
      </c>
    </row>
    <row r="19" spans="1:4">
      <c r="A19" s="4" t="s">
        <v>14</v>
      </c>
      <c r="B19" s="6" t="s">
        <v>318</v>
      </c>
      <c r="C19" s="30">
        <f>7000</f>
        <v>7000</v>
      </c>
      <c r="D19" s="37">
        <f>C19/C106*100</f>
        <v>0.18527610771952904</v>
      </c>
    </row>
    <row r="20" spans="1:4">
      <c r="A20" s="4" t="s">
        <v>6</v>
      </c>
      <c r="B20" s="6" t="s">
        <v>57</v>
      </c>
      <c r="C20" s="30">
        <f>30000</f>
        <v>30000</v>
      </c>
      <c r="D20" s="37">
        <f>C20/C106*100</f>
        <v>0.79404046165512443</v>
      </c>
    </row>
    <row r="21" spans="1:4">
      <c r="A21" s="4" t="s">
        <v>15</v>
      </c>
      <c r="B21" s="7" t="s">
        <v>366</v>
      </c>
      <c r="C21" s="31">
        <f>24300</f>
        <v>24300</v>
      </c>
      <c r="D21" s="37">
        <f>C21/C106*100</f>
        <v>0.64317277394065075</v>
      </c>
    </row>
    <row r="22" spans="1:4">
      <c r="A22" s="4" t="s">
        <v>6</v>
      </c>
      <c r="B22" s="7" t="s">
        <v>127</v>
      </c>
      <c r="C22" s="31">
        <f>6500</f>
        <v>6500</v>
      </c>
      <c r="D22" s="37">
        <f>C22/C106*100</f>
        <v>0.17204210002527695</v>
      </c>
    </row>
    <row r="23" spans="1:4">
      <c r="A23" s="4" t="s">
        <v>14</v>
      </c>
      <c r="B23" s="7" t="s">
        <v>319</v>
      </c>
      <c r="C23" s="31">
        <f>9090</f>
        <v>9090</v>
      </c>
      <c r="D23" s="37">
        <f>C23/C106*100</f>
        <v>0.24059425988150271</v>
      </c>
    </row>
    <row r="24" spans="1:4">
      <c r="A24" s="4" t="s">
        <v>6</v>
      </c>
      <c r="B24" s="7" t="s">
        <v>320</v>
      </c>
      <c r="C24" s="31">
        <f>10000</f>
        <v>10000</v>
      </c>
      <c r="D24" s="37">
        <f>C24/C106*100</f>
        <v>0.26468015388504146</v>
      </c>
    </row>
    <row r="25" spans="1:4">
      <c r="A25" s="4" t="s">
        <v>6</v>
      </c>
      <c r="B25" s="8" t="s">
        <v>321</v>
      </c>
      <c r="C25" s="32">
        <f>3080</f>
        <v>3080</v>
      </c>
      <c r="D25" s="37">
        <f>C25/C106*100</f>
        <v>8.1521487396592776E-2</v>
      </c>
    </row>
    <row r="26" spans="1:4">
      <c r="A26" s="4" t="s">
        <v>6</v>
      </c>
      <c r="B26" s="6" t="s">
        <v>367</v>
      </c>
      <c r="C26" s="32">
        <f>5000</f>
        <v>5000</v>
      </c>
      <c r="D26" s="37">
        <f>C26/C106*100</f>
        <v>0.13234007694252073</v>
      </c>
    </row>
    <row r="27" spans="1:4">
      <c r="A27" s="4" t="s">
        <v>17</v>
      </c>
      <c r="B27" s="6" t="s">
        <v>309</v>
      </c>
      <c r="C27" s="32">
        <f>200</f>
        <v>200</v>
      </c>
      <c r="D27" s="37">
        <f>C27/C106*100</f>
        <v>5.2936030777008293E-3</v>
      </c>
    </row>
    <row r="28" spans="1:4">
      <c r="A28" s="4" t="s">
        <v>19</v>
      </c>
      <c r="B28" s="6" t="s">
        <v>322</v>
      </c>
      <c r="C28" s="32">
        <f>118900</f>
        <v>118900</v>
      </c>
      <c r="D28" s="37">
        <f>C28/C106*100</f>
        <v>3.1470470296931432</v>
      </c>
    </row>
    <row r="29" spans="1:4">
      <c r="A29" s="4" t="s">
        <v>6</v>
      </c>
      <c r="B29" s="6" t="s">
        <v>323</v>
      </c>
      <c r="C29" s="32">
        <f>11000</f>
        <v>11000</v>
      </c>
      <c r="D29" s="37">
        <f>C29/C106*100</f>
        <v>0.29114816927354564</v>
      </c>
    </row>
    <row r="30" spans="1:4">
      <c r="A30" s="4" t="s">
        <v>15</v>
      </c>
      <c r="B30" s="6" t="s">
        <v>368</v>
      </c>
      <c r="C30" s="32">
        <f>3907</f>
        <v>3907</v>
      </c>
      <c r="D30" s="37">
        <f>C30/C106*100</f>
        <v>0.1034105361228857</v>
      </c>
    </row>
    <row r="31" spans="1:4">
      <c r="A31" s="4" t="s">
        <v>6</v>
      </c>
      <c r="B31" s="6" t="s">
        <v>369</v>
      </c>
      <c r="C31" s="32">
        <f>7500</f>
        <v>7500</v>
      </c>
      <c r="D31" s="37">
        <f>C31/C106*100</f>
        <v>0.19851011541378111</v>
      </c>
    </row>
    <row r="32" spans="1:4">
      <c r="A32" s="4" t="s">
        <v>15</v>
      </c>
      <c r="B32" s="6" t="s">
        <v>370</v>
      </c>
      <c r="C32" s="32">
        <f>2305</f>
        <v>2305</v>
      </c>
      <c r="D32" s="37">
        <f>C32/C106*100</f>
        <v>6.1008775470502062E-2</v>
      </c>
    </row>
    <row r="33" spans="1:4">
      <c r="A33" s="4" t="s">
        <v>24</v>
      </c>
      <c r="B33" s="6" t="s">
        <v>324</v>
      </c>
      <c r="C33" s="32">
        <f>20742</f>
        <v>20742</v>
      </c>
      <c r="D33" s="37">
        <f>C33/C106*100</f>
        <v>0.54899957518835307</v>
      </c>
    </row>
    <row r="34" spans="1:4">
      <c r="A34" s="4" t="s">
        <v>15</v>
      </c>
      <c r="B34" s="6" t="s">
        <v>325</v>
      </c>
      <c r="C34" s="32">
        <f>1500</f>
        <v>1500</v>
      </c>
      <c r="D34" s="37">
        <f>C34/C106*100</f>
        <v>3.9702023082756221E-2</v>
      </c>
    </row>
    <row r="35" spans="1:4">
      <c r="A35" s="4" t="s">
        <v>24</v>
      </c>
      <c r="B35" s="6" t="s">
        <v>125</v>
      </c>
      <c r="C35" s="32">
        <f>7170</f>
        <v>7170</v>
      </c>
      <c r="D35" s="37">
        <f>C35/C106*100</f>
        <v>0.18977567033557474</v>
      </c>
    </row>
    <row r="36" spans="1:4">
      <c r="A36" s="4" t="s">
        <v>15</v>
      </c>
      <c r="B36" s="6" t="s">
        <v>423</v>
      </c>
      <c r="C36" s="32">
        <f>2750</f>
        <v>2750</v>
      </c>
      <c r="D36" s="37">
        <f>C36/C106*100</f>
        <v>7.2787042318386411E-2</v>
      </c>
    </row>
    <row r="37" spans="1:4">
      <c r="A37" s="4" t="s">
        <v>24</v>
      </c>
      <c r="B37" s="6" t="s">
        <v>326</v>
      </c>
      <c r="C37" s="32">
        <f>600</f>
        <v>600</v>
      </c>
      <c r="D37" s="37">
        <f>C37/C106*100</f>
        <v>1.5880809233102488E-2</v>
      </c>
    </row>
    <row r="38" spans="1:4">
      <c r="A38" s="4" t="s">
        <v>14</v>
      </c>
      <c r="B38" s="6" t="s">
        <v>327</v>
      </c>
      <c r="C38" s="32">
        <f>2080</f>
        <v>2080</v>
      </c>
      <c r="D38" s="37">
        <f>C38/C106*100</f>
        <v>5.5053472008088626E-2</v>
      </c>
    </row>
    <row r="39" spans="1:4">
      <c r="A39" s="4" t="s">
        <v>14</v>
      </c>
      <c r="B39" s="6" t="s">
        <v>258</v>
      </c>
      <c r="C39" s="30">
        <f>1392050</f>
        <v>1392050</v>
      </c>
      <c r="D39" s="37">
        <f>C39/C106*100</f>
        <v>36.844800821567198</v>
      </c>
    </row>
    <row r="40" spans="1:4">
      <c r="A40" s="4" t="s">
        <v>6</v>
      </c>
      <c r="B40" s="6" t="s">
        <v>328</v>
      </c>
      <c r="C40" s="30">
        <f>400</f>
        <v>400</v>
      </c>
      <c r="D40" s="37">
        <f>C40/C106*100</f>
        <v>1.0587206155401659E-2</v>
      </c>
    </row>
    <row r="41" spans="1:4">
      <c r="A41" s="4" t="s">
        <v>6</v>
      </c>
      <c r="B41" s="6" t="s">
        <v>371</v>
      </c>
      <c r="C41" s="32">
        <f>87562</f>
        <v>87562</v>
      </c>
      <c r="D41" s="37">
        <f>C41/C106*100</f>
        <v>2.3175923634482003</v>
      </c>
    </row>
    <row r="42" spans="1:4">
      <c r="A42" s="4" t="s">
        <v>14</v>
      </c>
      <c r="B42" s="6" t="s">
        <v>329</v>
      </c>
      <c r="C42" s="30">
        <f>8620</f>
        <v>8620</v>
      </c>
      <c r="D42" s="37">
        <f>C42/C106*100</f>
        <v>0.22815429264890574</v>
      </c>
    </row>
    <row r="43" spans="1:4">
      <c r="A43" s="4" t="s">
        <v>14</v>
      </c>
      <c r="B43" s="6" t="s">
        <v>261</v>
      </c>
      <c r="C43" s="30">
        <f>31290</f>
        <v>31290</v>
      </c>
      <c r="D43" s="37">
        <f>C43/C106*100</f>
        <v>0.82818420150629468</v>
      </c>
    </row>
    <row r="44" spans="1:4">
      <c r="A44" s="4" t="s">
        <v>19</v>
      </c>
      <c r="B44" s="6" t="s">
        <v>330</v>
      </c>
      <c r="C44" s="30">
        <f>900</f>
        <v>900</v>
      </c>
      <c r="D44" s="37">
        <f>C44/C106*100</f>
        <v>2.3821213849653734E-2</v>
      </c>
    </row>
    <row r="45" spans="1:4">
      <c r="A45" s="4" t="s">
        <v>14</v>
      </c>
      <c r="B45" s="6" t="s">
        <v>32</v>
      </c>
      <c r="C45" s="30">
        <f>62500</f>
        <v>62500</v>
      </c>
      <c r="D45" s="37">
        <f>C45/C106*100</f>
        <v>1.6542509617815091</v>
      </c>
    </row>
    <row r="46" spans="1:4">
      <c r="A46" s="4" t="s">
        <v>6</v>
      </c>
      <c r="B46" s="6" t="s">
        <v>257</v>
      </c>
      <c r="C46" s="30">
        <f>298500</f>
        <v>298500</v>
      </c>
      <c r="D46" s="37">
        <f>C46/C106*100</f>
        <v>7.9007025934684876</v>
      </c>
    </row>
    <row r="47" spans="1:4">
      <c r="A47" s="4" t="s">
        <v>6</v>
      </c>
      <c r="B47" s="6" t="s">
        <v>331</v>
      </c>
      <c r="C47" s="30">
        <f>217500</f>
        <v>217500</v>
      </c>
      <c r="D47" s="37">
        <f>C47/C106*100</f>
        <v>5.7567933469996522</v>
      </c>
    </row>
    <row r="48" spans="1:4">
      <c r="A48" s="4" t="s">
        <v>6</v>
      </c>
      <c r="B48" s="6" t="s">
        <v>332</v>
      </c>
      <c r="C48" s="30">
        <f>5000</f>
        <v>5000</v>
      </c>
      <c r="D48" s="37">
        <f>C48/C106*100</f>
        <v>0.13234007694252073</v>
      </c>
    </row>
    <row r="49" spans="1:4">
      <c r="A49" s="4" t="s">
        <v>5</v>
      </c>
      <c r="B49" s="6" t="s">
        <v>333</v>
      </c>
      <c r="C49" s="30">
        <f>835</f>
        <v>835</v>
      </c>
      <c r="D49" s="37">
        <f>C49/C106*100</f>
        <v>2.2100792849400964E-2</v>
      </c>
    </row>
    <row r="50" spans="1:4">
      <c r="A50" s="4" t="s">
        <v>14</v>
      </c>
      <c r="B50" s="8" t="s">
        <v>266</v>
      </c>
      <c r="C50" s="33">
        <f>11050</f>
        <v>11050</v>
      </c>
      <c r="D50" s="37">
        <f>C50/C106*100</f>
        <v>0.29247157004297081</v>
      </c>
    </row>
    <row r="51" spans="1:4">
      <c r="A51" s="4" t="s">
        <v>20</v>
      </c>
      <c r="B51" s="6" t="s">
        <v>334</v>
      </c>
      <c r="C51" s="30">
        <f>2974</f>
        <v>2974</v>
      </c>
      <c r="D51" s="37">
        <f>C51/C106*100</f>
        <v>7.8715877765411335E-2</v>
      </c>
    </row>
    <row r="52" spans="1:4">
      <c r="A52" s="4" t="s">
        <v>22</v>
      </c>
      <c r="B52" s="6" t="s">
        <v>335</v>
      </c>
      <c r="C52" s="30">
        <f>106315</f>
        <v>106315</v>
      </c>
      <c r="D52" s="37">
        <f>C52/C106*100</f>
        <v>2.8139470560288182</v>
      </c>
    </row>
    <row r="53" spans="1:4">
      <c r="A53" s="4" t="s">
        <v>17</v>
      </c>
      <c r="B53" s="6" t="s">
        <v>336</v>
      </c>
      <c r="C53" s="30">
        <f>11960</f>
        <v>11960</v>
      </c>
      <c r="D53" s="37">
        <f>C53/C106*100</f>
        <v>0.31655746404650958</v>
      </c>
    </row>
    <row r="54" spans="1:4">
      <c r="A54" s="4" t="s">
        <v>17</v>
      </c>
      <c r="B54" s="6" t="s">
        <v>337</v>
      </c>
      <c r="C54" s="30">
        <f>3027</f>
        <v>3027</v>
      </c>
      <c r="D54" s="37">
        <f>C54/C106*100</f>
        <v>8.0118682581002049E-2</v>
      </c>
    </row>
    <row r="55" spans="1:4">
      <c r="A55" s="4" t="s">
        <v>20</v>
      </c>
      <c r="B55" s="6" t="s">
        <v>338</v>
      </c>
      <c r="C55" s="30">
        <f>7518</f>
        <v>7518</v>
      </c>
      <c r="D55" s="37">
        <f>C55/C106*100</f>
        <v>0.19898653969077418</v>
      </c>
    </row>
    <row r="56" spans="1:4">
      <c r="A56" s="4" t="s">
        <v>20</v>
      </c>
      <c r="B56" s="6" t="s">
        <v>339</v>
      </c>
      <c r="C56" s="30">
        <f>11690</f>
        <v>11690</v>
      </c>
      <c r="D56" s="37">
        <f>C56/C106*100</f>
        <v>0.30941109989161347</v>
      </c>
    </row>
    <row r="57" spans="1:4">
      <c r="A57" s="4" t="s">
        <v>20</v>
      </c>
      <c r="B57" s="6" t="s">
        <v>340</v>
      </c>
      <c r="C57" s="30">
        <f>7190</f>
        <v>7190</v>
      </c>
      <c r="D57" s="37">
        <f>C57/C106*100</f>
        <v>0.19030503064334481</v>
      </c>
    </row>
    <row r="58" spans="1:4">
      <c r="A58" s="4" t="s">
        <v>10</v>
      </c>
      <c r="B58" s="6" t="s">
        <v>341</v>
      </c>
      <c r="C58" s="30">
        <f>6000</f>
        <v>6000</v>
      </c>
      <c r="D58" s="37">
        <f>C58/C106*100</f>
        <v>0.15880809233102489</v>
      </c>
    </row>
    <row r="59" spans="1:4">
      <c r="A59" s="4" t="s">
        <v>14</v>
      </c>
      <c r="B59" s="6" t="s">
        <v>342</v>
      </c>
      <c r="C59" s="30">
        <f>10000</f>
        <v>10000</v>
      </c>
      <c r="D59" s="37">
        <f>C59/C106*100</f>
        <v>0.26468015388504146</v>
      </c>
    </row>
    <row r="60" spans="1:4">
      <c r="A60" s="4" t="s">
        <v>14</v>
      </c>
      <c r="B60" s="6" t="s">
        <v>343</v>
      </c>
      <c r="C60" s="30">
        <f>10000</f>
        <v>10000</v>
      </c>
      <c r="D60" s="37">
        <f>C60/C106*100</f>
        <v>0.26468015388504146</v>
      </c>
    </row>
    <row r="61" spans="1:4">
      <c r="A61" s="4" t="s">
        <v>15</v>
      </c>
      <c r="B61" s="6" t="s">
        <v>69</v>
      </c>
      <c r="C61" s="30">
        <f>1422</f>
        <v>1422</v>
      </c>
      <c r="D61" s="37">
        <f>C61/C106*100</f>
        <v>3.7637517882452898E-2</v>
      </c>
    </row>
    <row r="62" spans="1:4">
      <c r="A62" s="4" t="s">
        <v>22</v>
      </c>
      <c r="B62" s="6" t="s">
        <v>344</v>
      </c>
      <c r="C62" s="30">
        <f>1000</f>
        <v>1000</v>
      </c>
      <c r="D62" s="37">
        <f>C62/C106*100</f>
        <v>2.6468015388504147E-2</v>
      </c>
    </row>
    <row r="63" spans="1:4">
      <c r="A63" s="4" t="s">
        <v>17</v>
      </c>
      <c r="B63" s="6" t="s">
        <v>345</v>
      </c>
      <c r="C63" s="30">
        <f>4100</f>
        <v>4100</v>
      </c>
      <c r="D63" s="37">
        <f>C63/C106*100</f>
        <v>0.108518863092867</v>
      </c>
    </row>
    <row r="64" spans="1:4">
      <c r="A64" s="4" t="s">
        <v>20</v>
      </c>
      <c r="B64" s="6" t="s">
        <v>346</v>
      </c>
      <c r="C64" s="30">
        <f>710</f>
        <v>710</v>
      </c>
      <c r="D64" s="37">
        <f>C64/C106*100</f>
        <v>1.8792290925837944E-2</v>
      </c>
    </row>
    <row r="65" spans="1:4">
      <c r="A65" s="4" t="s">
        <v>15</v>
      </c>
      <c r="B65" s="6" t="s">
        <v>372</v>
      </c>
      <c r="C65" s="30">
        <f>4320</f>
        <v>4320</v>
      </c>
      <c r="D65" s="37">
        <f>C65/C106*100</f>
        <v>0.11434182647833792</v>
      </c>
    </row>
    <row r="66" spans="1:4">
      <c r="A66" s="4" t="s">
        <v>6</v>
      </c>
      <c r="B66" s="6" t="s">
        <v>373</v>
      </c>
      <c r="C66" s="30">
        <f>36145</f>
        <v>36145</v>
      </c>
      <c r="D66" s="37">
        <f>C66/C106*100</f>
        <v>0.9566864162174824</v>
      </c>
    </row>
    <row r="67" spans="1:4">
      <c r="A67" s="4" t="s">
        <v>17</v>
      </c>
      <c r="B67" s="6" t="s">
        <v>374</v>
      </c>
      <c r="C67" s="32">
        <f>22838</f>
        <v>22838</v>
      </c>
      <c r="D67" s="37">
        <f>C67/C106*100</f>
        <v>0.60447653544265767</v>
      </c>
    </row>
    <row r="68" spans="1:4">
      <c r="A68" s="4" t="s">
        <v>6</v>
      </c>
      <c r="B68" s="6" t="s">
        <v>375</v>
      </c>
      <c r="C68" s="30">
        <f>5580</f>
        <v>5580</v>
      </c>
      <c r="D68" s="37">
        <f>C68/C106*100</f>
        <v>0.14769152586785314</v>
      </c>
    </row>
    <row r="69" spans="1:4">
      <c r="A69" s="4" t="s">
        <v>15</v>
      </c>
      <c r="B69" s="6" t="s">
        <v>307</v>
      </c>
      <c r="C69" s="30">
        <f>1050</f>
        <v>1050</v>
      </c>
      <c r="D69" s="37">
        <f>C69/C106*100</f>
        <v>2.7791416157929356E-2</v>
      </c>
    </row>
    <row r="70" spans="1:4">
      <c r="A70" s="4" t="s">
        <v>24</v>
      </c>
      <c r="B70" s="6" t="s">
        <v>347</v>
      </c>
      <c r="C70" s="30">
        <f>20006</f>
        <v>20006</v>
      </c>
      <c r="D70" s="37">
        <f>C70/C106*100</f>
        <v>0.52951911586241396</v>
      </c>
    </row>
    <row r="71" spans="1:4">
      <c r="A71" s="4" t="s">
        <v>17</v>
      </c>
      <c r="B71" s="6" t="s">
        <v>376</v>
      </c>
      <c r="C71" s="30">
        <f>10100</f>
        <v>10100</v>
      </c>
      <c r="D71" s="37">
        <f>C71/C106*100</f>
        <v>0.2673269554238919</v>
      </c>
    </row>
    <row r="72" spans="1:4">
      <c r="A72" s="4" t="s">
        <v>18</v>
      </c>
      <c r="B72" s="6" t="s">
        <v>377</v>
      </c>
      <c r="C72" s="30">
        <f>600</f>
        <v>600</v>
      </c>
      <c r="D72" s="37">
        <f>C72/C106*100</f>
        <v>1.5880809233102488E-2</v>
      </c>
    </row>
    <row r="73" spans="1:4">
      <c r="A73" s="4" t="s">
        <v>18</v>
      </c>
      <c r="B73" s="6" t="s">
        <v>378</v>
      </c>
      <c r="C73" s="30">
        <f>29325</f>
        <v>29325</v>
      </c>
      <c r="D73" s="37">
        <f>C73/C106*100</f>
        <v>0.77617455126788404</v>
      </c>
    </row>
    <row r="74" spans="1:4">
      <c r="A74" s="4" t="s">
        <v>18</v>
      </c>
      <c r="B74" s="6" t="s">
        <v>379</v>
      </c>
      <c r="C74" s="30">
        <f>6465</f>
        <v>6465</v>
      </c>
      <c r="D74" s="37">
        <f>C74/C106*100</f>
        <v>0.17111571948667931</v>
      </c>
    </row>
    <row r="75" spans="1:4">
      <c r="A75" s="4" t="s">
        <v>14</v>
      </c>
      <c r="B75" s="6" t="s">
        <v>348</v>
      </c>
      <c r="C75" s="30">
        <f>4865</f>
        <v>4865</v>
      </c>
      <c r="D75" s="37">
        <f>C75/C106*100</f>
        <v>0.12876689486507267</v>
      </c>
    </row>
    <row r="76" spans="1:4">
      <c r="A76" s="4" t="s">
        <v>17</v>
      </c>
      <c r="B76" s="6" t="s">
        <v>349</v>
      </c>
      <c r="C76" s="30">
        <f>8000</f>
        <v>8000</v>
      </c>
      <c r="D76" s="37">
        <f>C76/C106*100</f>
        <v>0.21174412310803317</v>
      </c>
    </row>
    <row r="77" spans="1:4">
      <c r="A77" s="4" t="s">
        <v>17</v>
      </c>
      <c r="B77" s="6" t="s">
        <v>276</v>
      </c>
      <c r="C77" s="30">
        <f>43386</f>
        <v>43386</v>
      </c>
      <c r="D77" s="37">
        <f>C77/C106*100</f>
        <v>1.148341315645641</v>
      </c>
    </row>
    <row r="78" spans="1:4">
      <c r="A78" s="4" t="s">
        <v>5</v>
      </c>
      <c r="B78" s="6" t="s">
        <v>350</v>
      </c>
      <c r="C78" s="30">
        <f>31635</f>
        <v>31635</v>
      </c>
      <c r="D78" s="37">
        <f>C78/C106*100</f>
        <v>0.83731566681532876</v>
      </c>
    </row>
    <row r="79" spans="1:4">
      <c r="A79" s="4" t="s">
        <v>15</v>
      </c>
      <c r="B79" s="6" t="s">
        <v>380</v>
      </c>
      <c r="C79" s="30">
        <f>1900</f>
        <v>1900</v>
      </c>
      <c r="D79" s="37">
        <f>C79/C106*100</f>
        <v>5.028922923815788E-2</v>
      </c>
    </row>
    <row r="80" spans="1:4">
      <c r="A80" s="4" t="s">
        <v>17</v>
      </c>
      <c r="B80" s="6" t="s">
        <v>381</v>
      </c>
      <c r="C80" s="30">
        <f>23820</f>
        <v>23820</v>
      </c>
      <c r="D80" s="37">
        <f>C80/C106*100</f>
        <v>0.63046812655416884</v>
      </c>
    </row>
    <row r="81" spans="1:4">
      <c r="A81" s="4" t="s">
        <v>17</v>
      </c>
      <c r="B81" s="6" t="s">
        <v>382</v>
      </c>
      <c r="C81" s="30">
        <f>61188</f>
        <v>61188</v>
      </c>
      <c r="D81" s="37">
        <f>C81/C106*100</f>
        <v>1.6195249255917916</v>
      </c>
    </row>
    <row r="82" spans="1:4">
      <c r="A82" s="4" t="s">
        <v>17</v>
      </c>
      <c r="B82" s="6" t="s">
        <v>277</v>
      </c>
      <c r="C82" s="30">
        <f>1000</f>
        <v>1000</v>
      </c>
      <c r="D82" s="37">
        <f>C82/C106*100</f>
        <v>2.6468015388504147E-2</v>
      </c>
    </row>
    <row r="83" spans="1:4">
      <c r="A83" s="4" t="s">
        <v>17</v>
      </c>
      <c r="B83" s="6" t="s">
        <v>383</v>
      </c>
      <c r="C83" s="30">
        <f>3000</f>
        <v>3000</v>
      </c>
      <c r="D83" s="37">
        <f>C83/C106*100</f>
        <v>7.9404046165512443E-2</v>
      </c>
    </row>
    <row r="84" spans="1:4">
      <c r="A84" s="4" t="s">
        <v>17</v>
      </c>
      <c r="B84" s="6" t="s">
        <v>351</v>
      </c>
      <c r="C84" s="30">
        <f>1473</f>
        <v>1473</v>
      </c>
      <c r="D84" s="37">
        <f>C84/C106*100</f>
        <v>3.8987386667266609E-2</v>
      </c>
    </row>
    <row r="85" spans="1:4">
      <c r="A85" s="4" t="s">
        <v>15</v>
      </c>
      <c r="B85" s="6" t="s">
        <v>384</v>
      </c>
      <c r="C85" s="30">
        <f>2166</f>
        <v>2166</v>
      </c>
      <c r="D85" s="37">
        <f>C85/C106*100</f>
        <v>5.7329721331499987E-2</v>
      </c>
    </row>
    <row r="86" spans="1:4">
      <c r="A86" s="4" t="s">
        <v>23</v>
      </c>
      <c r="B86" s="6" t="s">
        <v>385</v>
      </c>
      <c r="C86" s="30">
        <f>1000</f>
        <v>1000</v>
      </c>
      <c r="D86" s="37">
        <f>C86/C106*100</f>
        <v>2.6468015388504147E-2</v>
      </c>
    </row>
    <row r="87" spans="1:4">
      <c r="A87" s="4" t="s">
        <v>18</v>
      </c>
      <c r="B87" s="6" t="s">
        <v>352</v>
      </c>
      <c r="C87" s="30">
        <f>6300</f>
        <v>6300</v>
      </c>
      <c r="D87" s="37">
        <f>C87/C106*100</f>
        <v>0.16674849694757612</v>
      </c>
    </row>
    <row r="88" spans="1:4">
      <c r="A88" s="4" t="s">
        <v>14</v>
      </c>
      <c r="B88" s="6" t="s">
        <v>281</v>
      </c>
      <c r="C88" s="30">
        <f>69700</f>
        <v>69700</v>
      </c>
      <c r="D88" s="37">
        <f>C88/C106*100</f>
        <v>1.8448206725787391</v>
      </c>
    </row>
    <row r="89" spans="1:4">
      <c r="A89" s="4" t="s">
        <v>14</v>
      </c>
      <c r="B89" s="6" t="s">
        <v>353</v>
      </c>
      <c r="C89" s="30">
        <f>10452</f>
        <v>10452</v>
      </c>
      <c r="D89" s="37">
        <f>C89/C106*100</f>
        <v>0.27664369684064533</v>
      </c>
    </row>
    <row r="90" spans="1:4">
      <c r="A90" s="4" t="s">
        <v>14</v>
      </c>
      <c r="B90" s="6" t="s">
        <v>203</v>
      </c>
      <c r="C90" s="30">
        <f>2000</f>
        <v>2000</v>
      </c>
      <c r="D90" s="37">
        <f>C90/C106*100</f>
        <v>5.2936030777008293E-2</v>
      </c>
    </row>
    <row r="91" spans="1:4">
      <c r="A91" s="4" t="s">
        <v>19</v>
      </c>
      <c r="B91" s="6" t="s">
        <v>354</v>
      </c>
      <c r="C91" s="30">
        <f>20000</f>
        <v>20000</v>
      </c>
      <c r="D91" s="37">
        <f>C91/C106*100</f>
        <v>0.52936030777008292</v>
      </c>
    </row>
    <row r="92" spans="1:4">
      <c r="A92" s="4" t="s">
        <v>6</v>
      </c>
      <c r="B92" s="6" t="s">
        <v>283</v>
      </c>
      <c r="C92" s="30">
        <f>23300</f>
        <v>23300</v>
      </c>
      <c r="D92" s="37">
        <f>C92/C106*100</f>
        <v>0.61670475855214668</v>
      </c>
    </row>
    <row r="93" spans="1:4">
      <c r="A93" s="4" t="s">
        <v>14</v>
      </c>
      <c r="B93" s="6" t="s">
        <v>284</v>
      </c>
      <c r="C93" s="30">
        <f>5600</f>
        <v>5600</v>
      </c>
      <c r="D93" s="37">
        <f>C93/C106*100</f>
        <v>0.14822088617562321</v>
      </c>
    </row>
    <row r="94" spans="1:4">
      <c r="A94" s="4" t="s">
        <v>6</v>
      </c>
      <c r="B94" s="6" t="s">
        <v>355</v>
      </c>
      <c r="C94" s="30">
        <f>6500</f>
        <v>6500</v>
      </c>
      <c r="D94" s="37">
        <f>C94/C106*100</f>
        <v>0.17204210002527695</v>
      </c>
    </row>
    <row r="95" spans="1:4">
      <c r="A95" s="4" t="s">
        <v>14</v>
      </c>
      <c r="B95" s="6" t="s">
        <v>356</v>
      </c>
      <c r="C95" s="30">
        <f>7426</f>
        <v>7426</v>
      </c>
      <c r="D95" s="37">
        <f>C95/C106*100</f>
        <v>0.19655148227503177</v>
      </c>
    </row>
    <row r="96" spans="1:4">
      <c r="A96" s="4" t="s">
        <v>14</v>
      </c>
      <c r="B96" s="6" t="s">
        <v>49</v>
      </c>
      <c r="C96" s="30">
        <f>1500</f>
        <v>1500</v>
      </c>
      <c r="D96" s="37">
        <f>C96/C106*100</f>
        <v>3.9702023082756221E-2</v>
      </c>
    </row>
    <row r="97" spans="1:4">
      <c r="A97" s="4" t="s">
        <v>22</v>
      </c>
      <c r="B97" s="6" t="s">
        <v>357</v>
      </c>
      <c r="C97" s="30">
        <f>45000</f>
        <v>45000</v>
      </c>
      <c r="D97" s="37">
        <f>C97/C106*100</f>
        <v>1.1910606924826868</v>
      </c>
    </row>
    <row r="98" spans="1:4">
      <c r="A98" s="4" t="s">
        <v>12</v>
      </c>
      <c r="B98" s="6" t="s">
        <v>358</v>
      </c>
      <c r="C98" s="30">
        <f>55000</f>
        <v>55000</v>
      </c>
      <c r="D98" s="37">
        <f>C98/C106*100</f>
        <v>1.4557408463677282</v>
      </c>
    </row>
    <row r="99" spans="1:4">
      <c r="A99" s="4" t="s">
        <v>22</v>
      </c>
      <c r="B99" s="6" t="s">
        <v>359</v>
      </c>
      <c r="C99" s="30">
        <f>69000</f>
        <v>69000</v>
      </c>
      <c r="D99" s="37">
        <f>C99/C106*100</f>
        <v>1.8262930618067861</v>
      </c>
    </row>
    <row r="100" spans="1:4">
      <c r="A100" s="4" t="s">
        <v>22</v>
      </c>
      <c r="B100" s="6" t="s">
        <v>360</v>
      </c>
      <c r="C100" s="30">
        <f>30610</f>
        <v>30610</v>
      </c>
      <c r="D100" s="37">
        <f>C100/C106*100</f>
        <v>0.810185951042112</v>
      </c>
    </row>
    <row r="101" spans="1:4">
      <c r="A101" s="4" t="s">
        <v>19</v>
      </c>
      <c r="B101" s="6" t="s">
        <v>287</v>
      </c>
      <c r="C101" s="30">
        <f>4000</f>
        <v>4000</v>
      </c>
      <c r="D101" s="37">
        <f>C101/C106*100</f>
        <v>0.10587206155401659</v>
      </c>
    </row>
    <row r="102" spans="1:4">
      <c r="A102" s="4" t="s">
        <v>17</v>
      </c>
      <c r="B102" s="6" t="s">
        <v>361</v>
      </c>
      <c r="C102" s="30">
        <f>1150</f>
        <v>1150</v>
      </c>
      <c r="D102" s="37">
        <f>C102/C106*100</f>
        <v>3.0438217696779769E-2</v>
      </c>
    </row>
    <row r="103" spans="1:4">
      <c r="A103" s="4" t="s">
        <v>20</v>
      </c>
      <c r="B103" s="6" t="s">
        <v>386</v>
      </c>
      <c r="C103" s="30">
        <f>610</f>
        <v>610</v>
      </c>
      <c r="D103" s="37">
        <f>C103/C106*100</f>
        <v>1.6145489386987528E-2</v>
      </c>
    </row>
    <row r="104" spans="1:4">
      <c r="A104" s="4" t="s">
        <v>20</v>
      </c>
      <c r="B104" s="6" t="s">
        <v>288</v>
      </c>
      <c r="C104" s="30">
        <f>5000</f>
        <v>5000</v>
      </c>
      <c r="D104" s="37">
        <f>C104/C106*100</f>
        <v>0.13234007694252073</v>
      </c>
    </row>
    <row r="105" spans="1:4">
      <c r="A105" s="4" t="s">
        <v>20</v>
      </c>
      <c r="B105" s="6" t="s">
        <v>362</v>
      </c>
      <c r="C105" s="30">
        <f>5000</f>
        <v>5000</v>
      </c>
      <c r="D105" s="37">
        <f>C105/C106*100</f>
        <v>0.13234007694252073</v>
      </c>
    </row>
    <row r="106" spans="1:4">
      <c r="A106" s="42" t="s">
        <v>4</v>
      </c>
      <c r="B106" s="42"/>
      <c r="C106" s="34">
        <f>SUM(C4:C105)</f>
        <v>3778145</v>
      </c>
      <c r="D106" s="37">
        <f>SUM(D4:D105)</f>
        <v>100</v>
      </c>
    </row>
    <row r="107" spans="1:4">
      <c r="A107" s="43" t="s">
        <v>29</v>
      </c>
      <c r="B107" s="43"/>
      <c r="C107" s="43"/>
      <c r="D107" s="43"/>
    </row>
    <row r="108" spans="1:4" ht="30">
      <c r="A108" s="3" t="s">
        <v>1</v>
      </c>
      <c r="B108" s="3" t="s">
        <v>2</v>
      </c>
      <c r="C108" s="29" t="s">
        <v>3</v>
      </c>
      <c r="D108" s="29" t="s">
        <v>144</v>
      </c>
    </row>
    <row r="109" spans="1:4">
      <c r="A109" s="4" t="s">
        <v>7</v>
      </c>
      <c r="B109" s="6" t="s">
        <v>249</v>
      </c>
      <c r="C109" s="30">
        <f>43826</f>
        <v>43826</v>
      </c>
      <c r="D109" s="37">
        <f>C109/C181*100</f>
        <v>2.8885839439920802</v>
      </c>
    </row>
    <row r="110" spans="1:4">
      <c r="A110" s="4" t="s">
        <v>14</v>
      </c>
      <c r="B110" s="6" t="s">
        <v>250</v>
      </c>
      <c r="C110" s="30">
        <f>10000</f>
        <v>10000</v>
      </c>
      <c r="D110" s="37">
        <f>C110/C181*100</f>
        <v>0.65910280290057965</v>
      </c>
    </row>
    <row r="111" spans="1:4">
      <c r="A111" s="4" t="s">
        <v>14</v>
      </c>
      <c r="B111" s="6" t="s">
        <v>251</v>
      </c>
      <c r="C111" s="30">
        <f>45100</f>
        <v>45100</v>
      </c>
      <c r="D111" s="37">
        <f>C111/C181*100</f>
        <v>2.972553641081614</v>
      </c>
    </row>
    <row r="112" spans="1:4">
      <c r="A112" s="4" t="s">
        <v>15</v>
      </c>
      <c r="B112" s="6" t="s">
        <v>64</v>
      </c>
      <c r="C112" s="30">
        <f>64506</f>
        <v>64506</v>
      </c>
      <c r="D112" s="37">
        <f>C112/C181*100</f>
        <v>4.2516085403904791</v>
      </c>
    </row>
    <row r="113" spans="1:4">
      <c r="A113" s="4" t="s">
        <v>15</v>
      </c>
      <c r="B113" s="6" t="s">
        <v>289</v>
      </c>
      <c r="C113" s="30">
        <f>84722</f>
        <v>84722</v>
      </c>
      <c r="D113" s="37">
        <f>C113/C181*100</f>
        <v>5.5840507667342907</v>
      </c>
    </row>
    <row r="114" spans="1:4">
      <c r="A114" s="4" t="s">
        <v>8</v>
      </c>
      <c r="B114" s="6" t="s">
        <v>81</v>
      </c>
      <c r="C114" s="30">
        <f>8252</f>
        <v>8252</v>
      </c>
      <c r="D114" s="37">
        <f>C114/C181*100</f>
        <v>0.54389163295355836</v>
      </c>
    </row>
    <row r="115" spans="1:4">
      <c r="A115" s="4" t="s">
        <v>20</v>
      </c>
      <c r="B115" s="6" t="s">
        <v>252</v>
      </c>
      <c r="C115" s="30">
        <f>11735</f>
        <v>11735</v>
      </c>
      <c r="D115" s="37">
        <f>C115/C181*100</f>
        <v>0.77345713920383019</v>
      </c>
    </row>
    <row r="116" spans="1:4">
      <c r="A116" s="4" t="s">
        <v>7</v>
      </c>
      <c r="B116" s="6" t="s">
        <v>290</v>
      </c>
      <c r="C116" s="30">
        <f>3100</f>
        <v>3100</v>
      </c>
      <c r="D116" s="37">
        <f>C116/C181*100</f>
        <v>0.20432186889917966</v>
      </c>
    </row>
    <row r="117" spans="1:4">
      <c r="A117" s="4" t="s">
        <v>14</v>
      </c>
      <c r="B117" s="6" t="s">
        <v>253</v>
      </c>
      <c r="C117" s="30">
        <f>23400</f>
        <v>23400</v>
      </c>
      <c r="D117" s="37">
        <f>C117/C181*100</f>
        <v>1.5423005587873562</v>
      </c>
    </row>
    <row r="118" spans="1:4">
      <c r="A118" s="4" t="s">
        <v>19</v>
      </c>
      <c r="B118" s="6" t="s">
        <v>291</v>
      </c>
      <c r="C118" s="30">
        <f>4000</f>
        <v>4000</v>
      </c>
      <c r="D118" s="37">
        <f>C118/C181*100</f>
        <v>0.26364112116023186</v>
      </c>
    </row>
    <row r="119" spans="1:4">
      <c r="A119" s="4" t="s">
        <v>6</v>
      </c>
      <c r="B119" s="6" t="s">
        <v>292</v>
      </c>
      <c r="C119" s="30">
        <f>1604</f>
        <v>1604</v>
      </c>
      <c r="D119" s="37">
        <f>C119/C181*100</f>
        <v>0.10572008958525296</v>
      </c>
    </row>
    <row r="120" spans="1:4">
      <c r="A120" s="4" t="s">
        <v>6</v>
      </c>
      <c r="B120" s="6" t="s">
        <v>293</v>
      </c>
      <c r="C120" s="30">
        <f>22348</f>
        <v>22348</v>
      </c>
      <c r="D120" s="37">
        <f>C120/C181*100</f>
        <v>1.4729629439222154</v>
      </c>
    </row>
    <row r="121" spans="1:4">
      <c r="A121" s="4" t="s">
        <v>6</v>
      </c>
      <c r="B121" s="6" t="s">
        <v>153</v>
      </c>
      <c r="C121" s="30">
        <f>11668</f>
        <v>11668</v>
      </c>
      <c r="D121" s="37">
        <f>C121/C181*100</f>
        <v>0.76904115042439625</v>
      </c>
    </row>
    <row r="122" spans="1:4">
      <c r="A122" s="4" t="s">
        <v>15</v>
      </c>
      <c r="B122" s="6" t="s">
        <v>57</v>
      </c>
      <c r="C122" s="30">
        <f>10500</f>
        <v>10500</v>
      </c>
      <c r="D122" s="37">
        <f>C122/C181*100</f>
        <v>0.69205794304560864</v>
      </c>
    </row>
    <row r="123" spans="1:4">
      <c r="A123" s="4" t="s">
        <v>6</v>
      </c>
      <c r="B123" s="6" t="s">
        <v>254</v>
      </c>
      <c r="C123" s="30">
        <f>500</f>
        <v>500</v>
      </c>
      <c r="D123" s="37">
        <f>C123/C181*100</f>
        <v>3.2955140145028983E-2</v>
      </c>
    </row>
    <row r="124" spans="1:4">
      <c r="A124" s="4" t="s">
        <v>6</v>
      </c>
      <c r="B124" s="6" t="s">
        <v>255</v>
      </c>
      <c r="C124" s="30">
        <f>17600</f>
        <v>17600</v>
      </c>
      <c r="D124" s="37">
        <f>C124/C181*100</f>
        <v>1.1600209331050202</v>
      </c>
    </row>
    <row r="125" spans="1:4">
      <c r="A125" s="4" t="s">
        <v>15</v>
      </c>
      <c r="B125" s="7" t="s">
        <v>294</v>
      </c>
      <c r="C125" s="31">
        <f>21430</f>
        <v>21430</v>
      </c>
      <c r="D125" s="37">
        <f>C125/C181*100</f>
        <v>1.412457306615942</v>
      </c>
    </row>
    <row r="126" spans="1:4">
      <c r="A126" s="4" t="s">
        <v>15</v>
      </c>
      <c r="B126" s="7" t="s">
        <v>295</v>
      </c>
      <c r="C126" s="31">
        <f>5075</f>
        <v>5075</v>
      </c>
      <c r="D126" s="37">
        <f>C126/C181*100</f>
        <v>0.33449467247204417</v>
      </c>
    </row>
    <row r="127" spans="1:4">
      <c r="A127" s="4" t="s">
        <v>22</v>
      </c>
      <c r="B127" s="6" t="s">
        <v>256</v>
      </c>
      <c r="C127" s="32">
        <f>30250</f>
        <v>30250</v>
      </c>
      <c r="D127" s="37">
        <f>C127/C181*100</f>
        <v>1.9937859787742533</v>
      </c>
    </row>
    <row r="128" spans="1:4">
      <c r="A128" s="4" t="s">
        <v>6</v>
      </c>
      <c r="B128" s="6" t="s">
        <v>296</v>
      </c>
      <c r="C128" s="32">
        <f>4800</f>
        <v>4800</v>
      </c>
      <c r="D128" s="37">
        <f>C128/C181*100</f>
        <v>0.31636934539227823</v>
      </c>
    </row>
    <row r="129" spans="1:4">
      <c r="A129" s="4" t="s">
        <v>15</v>
      </c>
      <c r="B129" s="6" t="s">
        <v>59</v>
      </c>
      <c r="C129" s="32">
        <f>1600</f>
        <v>1600</v>
      </c>
      <c r="D129" s="37">
        <f>C129/C181*100</f>
        <v>0.10545644846409274</v>
      </c>
    </row>
    <row r="130" spans="1:4">
      <c r="A130" s="4" t="s">
        <v>15</v>
      </c>
      <c r="B130" s="6" t="s">
        <v>297</v>
      </c>
      <c r="C130" s="32">
        <f>7750</f>
        <v>7750</v>
      </c>
      <c r="D130" s="37">
        <f>C130/C181*100</f>
        <v>0.51080467224794923</v>
      </c>
    </row>
    <row r="131" spans="1:4">
      <c r="A131" s="4" t="s">
        <v>15</v>
      </c>
      <c r="B131" s="6" t="s">
        <v>298</v>
      </c>
      <c r="C131" s="32">
        <f>38760</f>
        <v>38760</v>
      </c>
      <c r="D131" s="37">
        <f>C131/C181*100</f>
        <v>2.5546824640426467</v>
      </c>
    </row>
    <row r="132" spans="1:4">
      <c r="A132" s="4" t="s">
        <v>15</v>
      </c>
      <c r="B132" s="6" t="s">
        <v>299</v>
      </c>
      <c r="C132" s="32">
        <f>4500</f>
        <v>4500</v>
      </c>
      <c r="D132" s="37">
        <f>C132/C181*100</f>
        <v>0.29659626130526084</v>
      </c>
    </row>
    <row r="133" spans="1:4">
      <c r="A133" s="4" t="s">
        <v>15</v>
      </c>
      <c r="B133" s="6" t="s">
        <v>300</v>
      </c>
      <c r="C133" s="32">
        <f>1000</f>
        <v>1000</v>
      </c>
      <c r="D133" s="37">
        <f>C133/C181*100</f>
        <v>6.5910280290057965E-2</v>
      </c>
    </row>
    <row r="134" spans="1:4">
      <c r="A134" s="4" t="s">
        <v>6</v>
      </c>
      <c r="B134" s="6" t="s">
        <v>257</v>
      </c>
      <c r="C134" s="32">
        <f>115500</f>
        <v>115500</v>
      </c>
      <c r="D134" s="37">
        <f>C134/C181*100</f>
        <v>7.6126373735016948</v>
      </c>
    </row>
    <row r="135" spans="1:4">
      <c r="A135" s="4" t="s">
        <v>14</v>
      </c>
      <c r="B135" s="6" t="s">
        <v>258</v>
      </c>
      <c r="C135" s="32">
        <f>297950</f>
        <v>297950</v>
      </c>
      <c r="D135" s="37">
        <f>C135/C181*100</f>
        <v>19.637968012422768</v>
      </c>
    </row>
    <row r="136" spans="1:4">
      <c r="A136" s="4" t="s">
        <v>5</v>
      </c>
      <c r="B136" s="6" t="s">
        <v>52</v>
      </c>
      <c r="C136" s="32">
        <f>1603</f>
        <v>1603</v>
      </c>
      <c r="D136" s="37">
        <f>C136/C181*100</f>
        <v>0.1056541793049629</v>
      </c>
    </row>
    <row r="137" spans="1:4">
      <c r="A137" s="4" t="s">
        <v>14</v>
      </c>
      <c r="B137" s="6" t="s">
        <v>259</v>
      </c>
      <c r="C137" s="32">
        <f>6726</f>
        <v>6726</v>
      </c>
      <c r="D137" s="37">
        <f>C137/C181*100</f>
        <v>0.44331254523092983</v>
      </c>
    </row>
    <row r="138" spans="1:4">
      <c r="A138" s="4" t="s">
        <v>14</v>
      </c>
      <c r="B138" s="6" t="s">
        <v>260</v>
      </c>
      <c r="C138" s="32">
        <f>13800</f>
        <v>13800</v>
      </c>
      <c r="D138" s="37">
        <f>C138/C181*100</f>
        <v>0.90956186800279992</v>
      </c>
    </row>
    <row r="139" spans="1:4">
      <c r="A139" s="4" t="s">
        <v>14</v>
      </c>
      <c r="B139" s="6" t="s">
        <v>261</v>
      </c>
      <c r="C139" s="32">
        <f>8365</f>
        <v>8365</v>
      </c>
      <c r="D139" s="37">
        <f>C139/C181*100</f>
        <v>0.5513394946263348</v>
      </c>
    </row>
    <row r="140" spans="1:4">
      <c r="A140" s="4" t="s">
        <v>14</v>
      </c>
      <c r="B140" s="6" t="s">
        <v>32</v>
      </c>
      <c r="C140" s="32">
        <f>7380</f>
        <v>7380</v>
      </c>
      <c r="D140" s="37">
        <f>C140/C181*100</f>
        <v>0.48641786854062774</v>
      </c>
    </row>
    <row r="141" spans="1:4">
      <c r="A141" s="4" t="s">
        <v>6</v>
      </c>
      <c r="B141" s="6" t="s">
        <v>262</v>
      </c>
      <c r="C141" s="32">
        <f>68550</f>
        <v>68550</v>
      </c>
      <c r="D141" s="37">
        <f>C141/C181*100</f>
        <v>4.5181497138834725</v>
      </c>
    </row>
    <row r="142" spans="1:4">
      <c r="A142" s="4" t="s">
        <v>6</v>
      </c>
      <c r="B142" s="6" t="s">
        <v>263</v>
      </c>
      <c r="C142" s="32">
        <f>6600</f>
        <v>6600</v>
      </c>
      <c r="D142" s="37">
        <f>C142/C181*100</f>
        <v>0.43500784991438257</v>
      </c>
    </row>
    <row r="143" spans="1:4">
      <c r="A143" s="4" t="s">
        <v>14</v>
      </c>
      <c r="B143" s="6" t="s">
        <v>264</v>
      </c>
      <c r="C143" s="32">
        <f>25193</f>
        <v>25193</v>
      </c>
      <c r="D143" s="37">
        <f>C143/C181*100</f>
        <v>1.6604776913474302</v>
      </c>
    </row>
    <row r="144" spans="1:4">
      <c r="A144" s="4" t="s">
        <v>6</v>
      </c>
      <c r="B144" s="6" t="s">
        <v>265</v>
      </c>
      <c r="C144" s="32">
        <f>24000</f>
        <v>24000</v>
      </c>
      <c r="D144" s="37">
        <f>C144/C181*100</f>
        <v>1.5818467269613909</v>
      </c>
    </row>
    <row r="145" spans="1:4">
      <c r="A145" s="4" t="s">
        <v>14</v>
      </c>
      <c r="B145" s="6" t="s">
        <v>266</v>
      </c>
      <c r="C145" s="32">
        <f>3300</f>
        <v>3300</v>
      </c>
      <c r="D145" s="37">
        <f>C145/C181*100</f>
        <v>0.21750392495719129</v>
      </c>
    </row>
    <row r="146" spans="1:4">
      <c r="A146" s="4" t="s">
        <v>14</v>
      </c>
      <c r="B146" s="6" t="s">
        <v>267</v>
      </c>
      <c r="C146" s="32">
        <f>2800</f>
        <v>2800</v>
      </c>
      <c r="D146" s="37">
        <f>C146/C181*100</f>
        <v>0.18454878481216228</v>
      </c>
    </row>
    <row r="147" spans="1:4">
      <c r="A147" s="4" t="s">
        <v>20</v>
      </c>
      <c r="B147" s="6" t="s">
        <v>268</v>
      </c>
      <c r="C147" s="30">
        <f>5720</f>
        <v>5720</v>
      </c>
      <c r="D147" s="37">
        <f>C147/C181*100</f>
        <v>0.37700680325913155</v>
      </c>
    </row>
    <row r="148" spans="1:4">
      <c r="A148" s="4" t="s">
        <v>6</v>
      </c>
      <c r="B148" s="6" t="s">
        <v>301</v>
      </c>
      <c r="C148" s="30">
        <f>31000</f>
        <v>31000</v>
      </c>
      <c r="D148" s="37">
        <f>C148/C181*100</f>
        <v>2.0432186889917969</v>
      </c>
    </row>
    <row r="149" spans="1:4">
      <c r="A149" s="4" t="s">
        <v>22</v>
      </c>
      <c r="B149" s="6" t="s">
        <v>269</v>
      </c>
      <c r="C149" s="30">
        <f>4775</f>
        <v>4775</v>
      </c>
      <c r="D149" s="37">
        <f>C149/C181*100</f>
        <v>0.31472158838502678</v>
      </c>
    </row>
    <row r="150" spans="1:4">
      <c r="A150" s="4" t="s">
        <v>22</v>
      </c>
      <c r="B150" s="6" t="s">
        <v>270</v>
      </c>
      <c r="C150" s="30">
        <f>1500</f>
        <v>1500</v>
      </c>
      <c r="D150" s="37">
        <f>C150/C181*100</f>
        <v>9.8865420435086934E-2</v>
      </c>
    </row>
    <row r="151" spans="1:4">
      <c r="A151" s="4" t="s">
        <v>22</v>
      </c>
      <c r="B151" s="6" t="s">
        <v>271</v>
      </c>
      <c r="C151" s="30">
        <f>2120</f>
        <v>2120</v>
      </c>
      <c r="D151" s="37">
        <f>C151/C181*100</f>
        <v>0.13972979421492288</v>
      </c>
    </row>
    <row r="152" spans="1:4">
      <c r="A152" s="4" t="s">
        <v>6</v>
      </c>
      <c r="B152" s="6" t="s">
        <v>127</v>
      </c>
      <c r="C152" s="30">
        <f>6500</f>
        <v>6500</v>
      </c>
      <c r="D152" s="37">
        <f>C152/C181*100</f>
        <v>0.42841682188537672</v>
      </c>
    </row>
    <row r="153" spans="1:4">
      <c r="A153" s="4" t="s">
        <v>15</v>
      </c>
      <c r="B153" s="6" t="s">
        <v>272</v>
      </c>
      <c r="C153" s="30">
        <f>15000</f>
        <v>15000</v>
      </c>
      <c r="D153" s="37">
        <f>C153/C181*100</f>
        <v>0.98865420435086948</v>
      </c>
    </row>
    <row r="154" spans="1:4">
      <c r="A154" s="4" t="s">
        <v>22</v>
      </c>
      <c r="B154" s="6" t="s">
        <v>173</v>
      </c>
      <c r="C154" s="30">
        <f>10000</f>
        <v>10000</v>
      </c>
      <c r="D154" s="37">
        <f>C154/C181*100</f>
        <v>0.65910280290057965</v>
      </c>
    </row>
    <row r="155" spans="1:4">
      <c r="A155" s="4" t="s">
        <v>6</v>
      </c>
      <c r="B155" s="6" t="s">
        <v>302</v>
      </c>
      <c r="C155" s="30">
        <f>4400</f>
        <v>4400</v>
      </c>
      <c r="D155" s="37">
        <f>C155/C181*100</f>
        <v>0.29000523327625505</v>
      </c>
    </row>
    <row r="156" spans="1:4">
      <c r="A156" s="4" t="s">
        <v>6</v>
      </c>
      <c r="B156" s="6" t="s">
        <v>303</v>
      </c>
      <c r="C156" s="30">
        <f>2120</f>
        <v>2120</v>
      </c>
      <c r="D156" s="37">
        <f>C156/C181*100</f>
        <v>0.13972979421492288</v>
      </c>
    </row>
    <row r="157" spans="1:4">
      <c r="A157" s="4" t="s">
        <v>22</v>
      </c>
      <c r="B157" s="6" t="s">
        <v>273</v>
      </c>
      <c r="C157" s="30">
        <f>1270</f>
        <v>1270</v>
      </c>
      <c r="D157" s="37">
        <f>C157/C181*100</f>
        <v>8.3706055968373619E-2</v>
      </c>
    </row>
    <row r="158" spans="1:4">
      <c r="A158" s="4" t="s">
        <v>15</v>
      </c>
      <c r="B158" s="6" t="s">
        <v>304</v>
      </c>
      <c r="C158" s="30">
        <f>3500</f>
        <v>3500</v>
      </c>
      <c r="D158" s="37">
        <f>C158/C181*100</f>
        <v>0.23068598101520285</v>
      </c>
    </row>
    <row r="159" spans="1:4">
      <c r="A159" s="4" t="s">
        <v>17</v>
      </c>
      <c r="B159" s="6" t="s">
        <v>305</v>
      </c>
      <c r="C159" s="30">
        <f>46745</f>
        <v>46745</v>
      </c>
      <c r="D159" s="37">
        <f>C159/C181*100</f>
        <v>3.0809760521587592</v>
      </c>
    </row>
    <row r="160" spans="1:4">
      <c r="A160" s="4" t="s">
        <v>15</v>
      </c>
      <c r="B160" s="8" t="s">
        <v>306</v>
      </c>
      <c r="C160" s="33">
        <f>15701</f>
        <v>15701</v>
      </c>
      <c r="D160" s="37">
        <f>C160/C181*100</f>
        <v>1.0348573108342001</v>
      </c>
    </row>
    <row r="161" spans="1:4">
      <c r="A161" s="4" t="s">
        <v>15</v>
      </c>
      <c r="B161" s="6" t="s">
        <v>307</v>
      </c>
      <c r="C161" s="30">
        <f>600</f>
        <v>600</v>
      </c>
      <c r="D161" s="37">
        <f>C161/C181*100</f>
        <v>3.9546168174034779E-2</v>
      </c>
    </row>
    <row r="162" spans="1:4">
      <c r="A162" s="4" t="s">
        <v>15</v>
      </c>
      <c r="B162" s="6" t="s">
        <v>308</v>
      </c>
      <c r="C162" s="30">
        <f>21905</f>
        <v>21905</v>
      </c>
      <c r="D162" s="37">
        <f>C162/C181*100</f>
        <v>1.4437646897537195</v>
      </c>
    </row>
    <row r="163" spans="1:4">
      <c r="A163" s="4" t="s">
        <v>7</v>
      </c>
      <c r="B163" s="6" t="s">
        <v>274</v>
      </c>
      <c r="C163" s="30">
        <f>35000</f>
        <v>35000</v>
      </c>
      <c r="D163" s="37">
        <f>C163/C181*100</f>
        <v>2.3068598101520288</v>
      </c>
    </row>
    <row r="164" spans="1:4">
      <c r="A164" s="4" t="s">
        <v>5</v>
      </c>
      <c r="B164" s="6" t="s">
        <v>275</v>
      </c>
      <c r="C164" s="30">
        <f>35520</f>
        <v>35520</v>
      </c>
      <c r="D164" s="37">
        <f>C164/C181*100</f>
        <v>2.3411331559028588</v>
      </c>
    </row>
    <row r="165" spans="1:4">
      <c r="A165" s="4" t="s">
        <v>17</v>
      </c>
      <c r="B165" s="6" t="s">
        <v>276</v>
      </c>
      <c r="C165" s="30">
        <f>2200</f>
        <v>2200</v>
      </c>
      <c r="D165" s="37">
        <f>C165/C181*100</f>
        <v>0.14500261663812752</v>
      </c>
    </row>
    <row r="166" spans="1:4">
      <c r="A166" s="4" t="s">
        <v>6</v>
      </c>
      <c r="B166" s="6" t="s">
        <v>277</v>
      </c>
      <c r="C166" s="30">
        <f>750</f>
        <v>750</v>
      </c>
      <c r="D166" s="37">
        <f>C166/C181*100</f>
        <v>4.9432710217543467E-2</v>
      </c>
    </row>
    <row r="167" spans="1:4">
      <c r="A167" s="4" t="s">
        <v>6</v>
      </c>
      <c r="B167" s="6" t="s">
        <v>278</v>
      </c>
      <c r="C167" s="30">
        <f>5900</f>
        <v>5900</v>
      </c>
      <c r="D167" s="37">
        <f>C167/C181*100</f>
        <v>0.388870653711342</v>
      </c>
    </row>
    <row r="168" spans="1:4">
      <c r="A168" s="4" t="s">
        <v>6</v>
      </c>
      <c r="B168" s="6" t="s">
        <v>279</v>
      </c>
      <c r="C168" s="30">
        <f>12000</f>
        <v>12000</v>
      </c>
      <c r="D168" s="37">
        <f>C168/C181*100</f>
        <v>0.79092336348069547</v>
      </c>
    </row>
    <row r="169" spans="1:4">
      <c r="A169" s="4" t="s">
        <v>24</v>
      </c>
      <c r="B169" s="6" t="s">
        <v>280</v>
      </c>
      <c r="C169" s="30">
        <f>2000</f>
        <v>2000</v>
      </c>
      <c r="D169" s="37">
        <f>C169/C181*100</f>
        <v>0.13182056058011593</v>
      </c>
    </row>
    <row r="170" spans="1:4">
      <c r="A170" s="4" t="s">
        <v>14</v>
      </c>
      <c r="B170" s="6" t="s">
        <v>281</v>
      </c>
      <c r="C170" s="30">
        <f>69700</f>
        <v>69700</v>
      </c>
      <c r="D170" s="37">
        <f>C170/C181*100</f>
        <v>4.5939465362170395</v>
      </c>
    </row>
    <row r="171" spans="1:4">
      <c r="A171" s="4" t="s">
        <v>6</v>
      </c>
      <c r="B171" s="6" t="s">
        <v>282</v>
      </c>
      <c r="C171" s="30">
        <f>5710</f>
        <v>5710</v>
      </c>
      <c r="D171" s="37">
        <f>C171/C181*100</f>
        <v>0.37634770045623095</v>
      </c>
    </row>
    <row r="172" spans="1:4">
      <c r="A172" s="4" t="s">
        <v>6</v>
      </c>
      <c r="B172" s="6" t="s">
        <v>283</v>
      </c>
      <c r="C172" s="30">
        <f>42500</f>
        <v>42500</v>
      </c>
      <c r="D172" s="37">
        <f>C172/C181*100</f>
        <v>2.8011869123274638</v>
      </c>
    </row>
    <row r="173" spans="1:4">
      <c r="A173" s="4" t="s">
        <v>14</v>
      </c>
      <c r="B173" s="6" t="s">
        <v>284</v>
      </c>
      <c r="C173" s="30">
        <f>16250</f>
        <v>16250</v>
      </c>
      <c r="D173" s="37">
        <f>C173/C181*100</f>
        <v>1.071042054713442</v>
      </c>
    </row>
    <row r="174" spans="1:4">
      <c r="A174" s="4" t="s">
        <v>6</v>
      </c>
      <c r="B174" s="6" t="s">
        <v>285</v>
      </c>
      <c r="C174" s="30">
        <f>6000</f>
        <v>6000</v>
      </c>
      <c r="D174" s="37">
        <f>C174/C181*100</f>
        <v>0.39546168174034774</v>
      </c>
    </row>
    <row r="175" spans="1:4">
      <c r="A175" s="4" t="s">
        <v>17</v>
      </c>
      <c r="B175" s="6" t="s">
        <v>309</v>
      </c>
      <c r="C175" s="30">
        <f>970</f>
        <v>970</v>
      </c>
      <c r="D175" s="37">
        <f>C175/C181*100</f>
        <v>6.3932971881356229E-2</v>
      </c>
    </row>
    <row r="176" spans="1:4">
      <c r="A176" s="4" t="s">
        <v>12</v>
      </c>
      <c r="B176" s="6" t="s">
        <v>286</v>
      </c>
      <c r="C176" s="30">
        <f>23605</f>
        <v>23605</v>
      </c>
      <c r="D176" s="37">
        <f>C176/C181*100</f>
        <v>1.5558121662468183</v>
      </c>
    </row>
    <row r="177" spans="1:4">
      <c r="A177" s="4" t="s">
        <v>19</v>
      </c>
      <c r="B177" s="6" t="s">
        <v>287</v>
      </c>
      <c r="C177" s="30">
        <f>1000</f>
        <v>1000</v>
      </c>
      <c r="D177" s="37">
        <f>C177/C181*100</f>
        <v>6.5910280290057965E-2</v>
      </c>
    </row>
    <row r="178" spans="1:4">
      <c r="A178" s="4" t="s">
        <v>6</v>
      </c>
      <c r="B178" s="6" t="s">
        <v>310</v>
      </c>
      <c r="C178" s="30">
        <f>4400</f>
        <v>4400</v>
      </c>
      <c r="D178" s="37">
        <f>C178/C181*100</f>
        <v>0.29000523327625505</v>
      </c>
    </row>
    <row r="179" spans="1:4">
      <c r="A179" s="4" t="s">
        <v>6</v>
      </c>
      <c r="B179" s="6" t="s">
        <v>311</v>
      </c>
      <c r="C179" s="30">
        <f>20200</f>
        <v>20200</v>
      </c>
      <c r="D179" s="37">
        <f>C179/C181*100</f>
        <v>1.3313876618591709</v>
      </c>
    </row>
    <row r="180" spans="1:4">
      <c r="A180" s="4" t="s">
        <v>20</v>
      </c>
      <c r="B180" s="6" t="s">
        <v>288</v>
      </c>
      <c r="C180" s="30">
        <f>860</f>
        <v>860</v>
      </c>
      <c r="D180" s="37">
        <f>C180/C181*100</f>
        <v>5.6682841049449845E-2</v>
      </c>
    </row>
    <row r="181" spans="1:4">
      <c r="A181" s="42" t="s">
        <v>4</v>
      </c>
      <c r="B181" s="42"/>
      <c r="C181" s="34">
        <f>SUM(C109:C180)</f>
        <v>1517214</v>
      </c>
      <c r="D181" s="37">
        <f>SUM(D109:D180)</f>
        <v>100.00000000000001</v>
      </c>
    </row>
    <row r="183" spans="1:4">
      <c r="A183" s="43" t="s">
        <v>25</v>
      </c>
      <c r="B183" s="43"/>
      <c r="C183" s="43"/>
      <c r="D183" s="43"/>
    </row>
    <row r="184" spans="1:4" ht="30">
      <c r="A184" s="3" t="s">
        <v>1</v>
      </c>
      <c r="B184" s="3" t="s">
        <v>2</v>
      </c>
      <c r="C184" s="29" t="s">
        <v>3</v>
      </c>
      <c r="D184" s="38" t="s">
        <v>144</v>
      </c>
    </row>
    <row r="185" spans="1:4">
      <c r="A185" s="4" t="s">
        <v>5</v>
      </c>
      <c r="B185" s="13" t="s">
        <v>52</v>
      </c>
      <c r="C185" s="30">
        <f>195193</f>
        <v>195193</v>
      </c>
      <c r="D185" s="37">
        <f>C185/C243*100</f>
        <v>7.2669783289594632</v>
      </c>
    </row>
    <row r="186" spans="1:4">
      <c r="A186" s="4" t="s">
        <v>5</v>
      </c>
      <c r="B186" s="13" t="s">
        <v>393</v>
      </c>
      <c r="C186" s="30">
        <v>26470</v>
      </c>
      <c r="D186" s="37">
        <f>C186/C243*100</f>
        <v>0.98547036198817062</v>
      </c>
    </row>
    <row r="187" spans="1:4">
      <c r="A187" s="4" t="s">
        <v>14</v>
      </c>
      <c r="B187" s="6" t="s">
        <v>395</v>
      </c>
      <c r="C187" s="30">
        <v>9000</v>
      </c>
      <c r="D187" s="37">
        <f>C187/C243*100</f>
        <v>0.33506736901751172</v>
      </c>
    </row>
    <row r="188" spans="1:4">
      <c r="A188" s="4" t="s">
        <v>14</v>
      </c>
      <c r="B188" s="6" t="s">
        <v>396</v>
      </c>
      <c r="C188" s="30">
        <v>4800</v>
      </c>
      <c r="D188" s="37">
        <f>C188/C243*100</f>
        <v>0.17870259680933959</v>
      </c>
    </row>
    <row r="189" spans="1:4">
      <c r="A189" s="4" t="s">
        <v>14</v>
      </c>
      <c r="B189" s="6" t="s">
        <v>397</v>
      </c>
      <c r="C189" s="30">
        <v>12600</v>
      </c>
      <c r="D189" s="37">
        <f>C189/C243*100</f>
        <v>0.46909431662451645</v>
      </c>
    </row>
    <row r="190" spans="1:4">
      <c r="A190" s="4" t="s">
        <v>14</v>
      </c>
      <c r="B190" s="6" t="s">
        <v>398</v>
      </c>
      <c r="C190" s="30">
        <v>2000</v>
      </c>
      <c r="D190" s="37">
        <f>C190/C243*100</f>
        <v>7.4459415337224832E-2</v>
      </c>
    </row>
    <row r="191" spans="1:4">
      <c r="A191" s="4" t="s">
        <v>15</v>
      </c>
      <c r="B191" s="6" t="s">
        <v>235</v>
      </c>
      <c r="C191" s="30">
        <v>4000</v>
      </c>
      <c r="D191" s="37">
        <f>C191/C243*100</f>
        <v>0.14891883067444966</v>
      </c>
    </row>
    <row r="192" spans="1:4">
      <c r="A192" s="4" t="s">
        <v>15</v>
      </c>
      <c r="B192" s="6" t="s">
        <v>236</v>
      </c>
      <c r="C192" s="30">
        <f>104288</f>
        <v>104288</v>
      </c>
      <c r="D192" s="37">
        <f>C192/C243*100</f>
        <v>3.8826117533442512</v>
      </c>
    </row>
    <row r="193" spans="1:4">
      <c r="A193" s="4" t="s">
        <v>15</v>
      </c>
      <c r="B193" s="6" t="s">
        <v>70</v>
      </c>
      <c r="C193" s="30">
        <v>7450</v>
      </c>
      <c r="D193" s="37">
        <f>C193/C243*100</f>
        <v>0.27736132213116249</v>
      </c>
    </row>
    <row r="194" spans="1:4">
      <c r="A194" s="4" t="s">
        <v>15</v>
      </c>
      <c r="B194" s="6" t="s">
        <v>237</v>
      </c>
      <c r="C194" s="30">
        <v>5300</v>
      </c>
      <c r="D194" s="37">
        <f>C194/C243*100</f>
        <v>0.19731745064364581</v>
      </c>
    </row>
    <row r="195" spans="1:4">
      <c r="A195" s="4" t="s">
        <v>15</v>
      </c>
      <c r="B195" s="6" t="s">
        <v>238</v>
      </c>
      <c r="C195" s="30">
        <v>1000</v>
      </c>
      <c r="D195" s="37">
        <f>C195/C243*100</f>
        <v>3.7229707668612416E-2</v>
      </c>
    </row>
    <row r="196" spans="1:4">
      <c r="A196" s="4" t="s">
        <v>6</v>
      </c>
      <c r="B196" s="6" t="s">
        <v>239</v>
      </c>
      <c r="C196" s="30">
        <v>7496</v>
      </c>
      <c r="D196" s="37">
        <f>C196/C243*100</f>
        <v>0.27907388868391869</v>
      </c>
    </row>
    <row r="197" spans="1:4">
      <c r="A197" s="4" t="s">
        <v>15</v>
      </c>
      <c r="B197" s="6" t="s">
        <v>240</v>
      </c>
      <c r="C197" s="30">
        <v>7600</v>
      </c>
      <c r="D197" s="37">
        <f>C197/C243*100</f>
        <v>0.2829457782814544</v>
      </c>
    </row>
    <row r="198" spans="1:4">
      <c r="A198" s="4" t="s">
        <v>15</v>
      </c>
      <c r="B198" s="6" t="s">
        <v>241</v>
      </c>
      <c r="C198" s="30">
        <v>12824</v>
      </c>
      <c r="D198" s="37">
        <f>C198/C243*100</f>
        <v>0.47743377114228563</v>
      </c>
    </row>
    <row r="199" spans="1:4">
      <c r="A199" s="4" t="s">
        <v>15</v>
      </c>
      <c r="B199" s="6" t="s">
        <v>242</v>
      </c>
      <c r="C199" s="30">
        <v>13900</v>
      </c>
      <c r="D199" s="37">
        <f>C199/C243*100</f>
        <v>0.51749293659371265</v>
      </c>
    </row>
    <row r="200" spans="1:4">
      <c r="A200" s="4" t="s">
        <v>7</v>
      </c>
      <c r="B200" s="6" t="s">
        <v>424</v>
      </c>
      <c r="C200" s="30">
        <v>300</v>
      </c>
      <c r="D200" s="37">
        <f>C200/C243*100</f>
        <v>1.1168912300583724E-2</v>
      </c>
    </row>
    <row r="201" spans="1:4">
      <c r="A201" s="4" t="s">
        <v>6</v>
      </c>
      <c r="B201" s="6" t="s">
        <v>56</v>
      </c>
      <c r="C201" s="30">
        <f>19812</f>
        <v>19812</v>
      </c>
      <c r="D201" s="37">
        <f>C201/C243*100</f>
        <v>0.73759496833054916</v>
      </c>
    </row>
    <row r="202" spans="1:4">
      <c r="A202" s="4" t="s">
        <v>18</v>
      </c>
      <c r="B202" s="7" t="s">
        <v>399</v>
      </c>
      <c r="C202" s="31">
        <v>30000</v>
      </c>
      <c r="D202" s="37">
        <f>C202/C243*100</f>
        <v>1.1168912300583724</v>
      </c>
    </row>
    <row r="203" spans="1:4">
      <c r="A203" s="4" t="s">
        <v>18</v>
      </c>
      <c r="B203" s="7" t="s">
        <v>400</v>
      </c>
      <c r="C203" s="31">
        <v>20303</v>
      </c>
      <c r="D203" s="37">
        <f>C203/C243*100</f>
        <v>0.75587475479583788</v>
      </c>
    </row>
    <row r="204" spans="1:4">
      <c r="A204" s="4" t="s">
        <v>6</v>
      </c>
      <c r="B204" s="6" t="s">
        <v>243</v>
      </c>
      <c r="C204" s="32">
        <v>5145</v>
      </c>
      <c r="D204" s="37">
        <f>C204/C243*100</f>
        <v>0.19154684595501087</v>
      </c>
    </row>
    <row r="205" spans="1:4">
      <c r="A205" s="4" t="s">
        <v>6</v>
      </c>
      <c r="B205" s="6" t="s">
        <v>63</v>
      </c>
      <c r="C205" s="32">
        <v>210233</v>
      </c>
      <c r="D205" s="37">
        <f>C205/C243*100</f>
        <v>7.8269131322953935</v>
      </c>
    </row>
    <row r="206" spans="1:4">
      <c r="A206" s="4" t="s">
        <v>6</v>
      </c>
      <c r="B206" s="6" t="s">
        <v>401</v>
      </c>
      <c r="C206" s="32">
        <v>43200</v>
      </c>
      <c r="D206" s="37">
        <f>C206/C243*100</f>
        <v>1.6083233712840563</v>
      </c>
    </row>
    <row r="207" spans="1:4">
      <c r="A207" s="4" t="s">
        <v>7</v>
      </c>
      <c r="B207" s="6" t="s">
        <v>249</v>
      </c>
      <c r="C207" s="32">
        <v>74055</v>
      </c>
      <c r="D207" s="37">
        <f>C207/C243*100</f>
        <v>2.7570460013990923</v>
      </c>
    </row>
    <row r="208" spans="1:4">
      <c r="A208" s="4" t="s">
        <v>16</v>
      </c>
      <c r="B208" s="6" t="s">
        <v>256</v>
      </c>
      <c r="C208" s="32">
        <v>2000</v>
      </c>
      <c r="D208" s="37">
        <f>C208/C243*100</f>
        <v>7.4459415337224832E-2</v>
      </c>
    </row>
    <row r="209" spans="1:4">
      <c r="A209" s="4" t="s">
        <v>6</v>
      </c>
      <c r="B209" s="6" t="s">
        <v>244</v>
      </c>
      <c r="C209" s="32">
        <v>19000</v>
      </c>
      <c r="D209" s="37">
        <f>C209/C243*100</f>
        <v>0.70736444570363588</v>
      </c>
    </row>
    <row r="210" spans="1:4">
      <c r="A210" s="4" t="s">
        <v>8</v>
      </c>
      <c r="B210" s="6" t="s">
        <v>81</v>
      </c>
      <c r="C210" s="32">
        <v>11390</v>
      </c>
      <c r="D210" s="37">
        <f>C210/C243*100</f>
        <v>0.42404637034549542</v>
      </c>
    </row>
    <row r="211" spans="1:4">
      <c r="A211" s="4" t="s">
        <v>6</v>
      </c>
      <c r="B211" s="6" t="s">
        <v>402</v>
      </c>
      <c r="C211" s="32">
        <v>20650</v>
      </c>
      <c r="D211" s="37">
        <f>C211/C243*100</f>
        <v>0.7687934633568464</v>
      </c>
    </row>
    <row r="212" spans="1:4">
      <c r="A212" s="4" t="s">
        <v>14</v>
      </c>
      <c r="B212" s="6" t="s">
        <v>282</v>
      </c>
      <c r="C212" s="32">
        <f>26330</f>
        <v>26330</v>
      </c>
      <c r="D212" s="37">
        <f>C212/C243*100</f>
        <v>0.98025820291456478</v>
      </c>
    </row>
    <row r="213" spans="1:4">
      <c r="A213" s="4" t="s">
        <v>20</v>
      </c>
      <c r="B213" s="6" t="s">
        <v>403</v>
      </c>
      <c r="C213" s="32">
        <v>1061</v>
      </c>
      <c r="D213" s="37">
        <f>C213/C243*100</f>
        <v>3.9500719836397767E-2</v>
      </c>
    </row>
    <row r="214" spans="1:4">
      <c r="A214" s="4" t="s">
        <v>5</v>
      </c>
      <c r="B214" s="6" t="s">
        <v>245</v>
      </c>
      <c r="C214" s="32">
        <v>3844</v>
      </c>
      <c r="D214" s="37">
        <f>C214/C243*100</f>
        <v>0.14311099627814611</v>
      </c>
    </row>
    <row r="215" spans="1:4">
      <c r="A215" s="4" t="s">
        <v>5</v>
      </c>
      <c r="B215" s="6" t="s">
        <v>404</v>
      </c>
      <c r="C215" s="32">
        <v>24075</v>
      </c>
      <c r="D215" s="37">
        <f>C215/C243*100</f>
        <v>0.89630521212184389</v>
      </c>
    </row>
    <row r="216" spans="1:4">
      <c r="A216" s="4" t="s">
        <v>14</v>
      </c>
      <c r="B216" s="6" t="s">
        <v>405</v>
      </c>
      <c r="C216" s="32">
        <v>900</v>
      </c>
      <c r="D216" s="37">
        <f>C216/C243*100</f>
        <v>3.3506736901751176E-2</v>
      </c>
    </row>
    <row r="217" spans="1:4">
      <c r="A217" s="4" t="s">
        <v>14</v>
      </c>
      <c r="B217" s="6" t="s">
        <v>406</v>
      </c>
      <c r="C217" s="32">
        <v>77600</v>
      </c>
      <c r="D217" s="37">
        <f>C217/C243*100</f>
        <v>2.8890253150843237</v>
      </c>
    </row>
    <row r="218" spans="1:4">
      <c r="A218" s="4" t="s">
        <v>15</v>
      </c>
      <c r="B218" s="6" t="s">
        <v>407</v>
      </c>
      <c r="C218" s="32">
        <v>450</v>
      </c>
      <c r="D218" s="37">
        <f>C218/C243*100</f>
        <v>1.6753368450875588E-2</v>
      </c>
    </row>
    <row r="219" spans="1:4">
      <c r="A219" s="4" t="s">
        <v>14</v>
      </c>
      <c r="B219" s="6" t="s">
        <v>408</v>
      </c>
      <c r="C219" s="32">
        <v>7000</v>
      </c>
      <c r="D219" s="37">
        <f>C219/C243*100</f>
        <v>0.26060795368028689</v>
      </c>
    </row>
    <row r="220" spans="1:4">
      <c r="A220" s="4" t="s">
        <v>14</v>
      </c>
      <c r="B220" s="6" t="s">
        <v>409</v>
      </c>
      <c r="C220" s="32">
        <v>6930</v>
      </c>
      <c r="D220" s="37">
        <f>C220/C243*100</f>
        <v>0.25800187414348408</v>
      </c>
    </row>
    <row r="221" spans="1:4">
      <c r="A221" s="4" t="s">
        <v>21</v>
      </c>
      <c r="B221" s="6" t="s">
        <v>410</v>
      </c>
      <c r="C221" s="32">
        <v>214</v>
      </c>
      <c r="D221" s="37">
        <f>C221/C243*100</f>
        <v>7.9671574410830562E-3</v>
      </c>
    </row>
    <row r="222" spans="1:4">
      <c r="A222" s="4" t="s">
        <v>14</v>
      </c>
      <c r="B222" s="6" t="s">
        <v>411</v>
      </c>
      <c r="C222" s="30">
        <v>46700</v>
      </c>
      <c r="D222" s="37">
        <f>C222/C243*100</f>
        <v>1.7386273481241998</v>
      </c>
    </row>
    <row r="223" spans="1:4">
      <c r="A223" s="4" t="s">
        <v>14</v>
      </c>
      <c r="B223" s="6" t="s">
        <v>258</v>
      </c>
      <c r="C223" s="30">
        <v>9950</v>
      </c>
      <c r="D223" s="37">
        <f>C223/C243*100</f>
        <v>0.37043559130269355</v>
      </c>
    </row>
    <row r="224" spans="1:4">
      <c r="A224" s="4" t="s">
        <v>14</v>
      </c>
      <c r="B224" s="6" t="s">
        <v>412</v>
      </c>
      <c r="C224" s="30">
        <v>4230</v>
      </c>
      <c r="D224" s="37">
        <f>C224/C243*100</f>
        <v>0.1574816634382305</v>
      </c>
    </row>
    <row r="225" spans="1:4">
      <c r="A225" s="4" t="s">
        <v>14</v>
      </c>
      <c r="B225" s="6" t="s">
        <v>413</v>
      </c>
      <c r="C225" s="30">
        <v>4318</v>
      </c>
      <c r="D225" s="37">
        <f>C225/C243*100</f>
        <v>0.1607578777130684</v>
      </c>
    </row>
    <row r="226" spans="1:4">
      <c r="A226" s="4" t="s">
        <v>21</v>
      </c>
      <c r="B226" s="6" t="s">
        <v>414</v>
      </c>
      <c r="C226" s="30">
        <v>7201</v>
      </c>
      <c r="D226" s="37">
        <f>C226/C243*100</f>
        <v>0.26809112492167797</v>
      </c>
    </row>
    <row r="227" spans="1:4">
      <c r="A227" s="4" t="s">
        <v>6</v>
      </c>
      <c r="B227" s="6" t="s">
        <v>246</v>
      </c>
      <c r="C227" s="30">
        <v>128009</v>
      </c>
      <c r="D227" s="37">
        <f>C227/C243*100</f>
        <v>4.7657376489514069</v>
      </c>
    </row>
    <row r="228" spans="1:4">
      <c r="A228" s="4" t="s">
        <v>6</v>
      </c>
      <c r="B228" s="6" t="s">
        <v>247</v>
      </c>
      <c r="C228" s="30">
        <v>36141</v>
      </c>
      <c r="D228" s="37">
        <f>C228/C243*100</f>
        <v>1.3455188648513214</v>
      </c>
    </row>
    <row r="229" spans="1:4">
      <c r="A229" s="4" t="s">
        <v>5</v>
      </c>
      <c r="B229" s="6" t="s">
        <v>248</v>
      </c>
      <c r="C229" s="30">
        <v>6800</v>
      </c>
      <c r="D229" s="37">
        <f>C229/C243*100</f>
        <v>0.25316201214656442</v>
      </c>
    </row>
    <row r="230" spans="1:4">
      <c r="A230" s="4" t="s">
        <v>22</v>
      </c>
      <c r="B230" s="6" t="s">
        <v>123</v>
      </c>
      <c r="C230" s="30">
        <v>200500</v>
      </c>
      <c r="D230" s="37">
        <f>C230/C243*100</f>
        <v>7.4645563875567893</v>
      </c>
    </row>
    <row r="231" spans="1:4">
      <c r="A231" s="4" t="s">
        <v>5</v>
      </c>
      <c r="B231" s="6" t="s">
        <v>209</v>
      </c>
      <c r="C231" s="30">
        <v>20828</v>
      </c>
      <c r="D231" s="37">
        <f>C231/C243*100</f>
        <v>0.77542035132185938</v>
      </c>
    </row>
    <row r="232" spans="1:4">
      <c r="A232" s="4" t="s">
        <v>5</v>
      </c>
      <c r="B232" s="6" t="s">
        <v>211</v>
      </c>
      <c r="C232" s="30">
        <v>5000</v>
      </c>
      <c r="D232" s="37">
        <f>C232/C243*100</f>
        <v>0.18614853834306208</v>
      </c>
    </row>
    <row r="233" spans="1:4">
      <c r="A233" s="4" t="s">
        <v>17</v>
      </c>
      <c r="B233" s="6" t="s">
        <v>415</v>
      </c>
      <c r="C233" s="30">
        <v>2000</v>
      </c>
      <c r="D233" s="37">
        <f>C233/C243*100</f>
        <v>7.4459415337224832E-2</v>
      </c>
    </row>
    <row r="234" spans="1:4">
      <c r="A234" s="4" t="s">
        <v>17</v>
      </c>
      <c r="B234" s="6" t="s">
        <v>416</v>
      </c>
      <c r="C234" s="30">
        <v>500</v>
      </c>
      <c r="D234" s="37">
        <f>C234/C243*100</f>
        <v>1.8614853834306208E-2</v>
      </c>
    </row>
    <row r="235" spans="1:4">
      <c r="A235" s="4" t="s">
        <v>5</v>
      </c>
      <c r="B235" s="6" t="s">
        <v>417</v>
      </c>
      <c r="C235" s="30">
        <v>750</v>
      </c>
      <c r="D235" s="37">
        <f>C235/C243*100</f>
        <v>2.7922280751459309E-2</v>
      </c>
    </row>
    <row r="236" spans="1:4">
      <c r="A236" s="4" t="s">
        <v>18</v>
      </c>
      <c r="B236" s="8" t="s">
        <v>418</v>
      </c>
      <c r="C236" s="33">
        <v>3000</v>
      </c>
      <c r="D236" s="37">
        <f>C236/C243*100</f>
        <v>0.11168912300583723</v>
      </c>
    </row>
    <row r="237" spans="1:4">
      <c r="A237" s="4" t="s">
        <v>20</v>
      </c>
      <c r="B237" s="6" t="s">
        <v>419</v>
      </c>
      <c r="C237" s="30">
        <v>3090</v>
      </c>
      <c r="D237" s="37">
        <f>C237/C243*100</f>
        <v>0.11503979669601236</v>
      </c>
    </row>
    <row r="238" spans="1:4">
      <c r="A238" s="4" t="s">
        <v>19</v>
      </c>
      <c r="B238" s="6" t="s">
        <v>420</v>
      </c>
      <c r="C238" s="30">
        <v>1700</v>
      </c>
      <c r="D238" s="37">
        <f>C238/C243*100</f>
        <v>6.3290503036641105E-2</v>
      </c>
    </row>
    <row r="239" spans="1:4">
      <c r="A239" s="4" t="s">
        <v>14</v>
      </c>
      <c r="B239" s="6" t="s">
        <v>421</v>
      </c>
      <c r="C239" s="30">
        <v>1143080</v>
      </c>
      <c r="D239" s="37">
        <f>C239/C243*100</f>
        <v>42.556534241837483</v>
      </c>
    </row>
    <row r="240" spans="1:4">
      <c r="A240" s="4" t="s">
        <v>14</v>
      </c>
      <c r="B240" s="6" t="s">
        <v>422</v>
      </c>
      <c r="C240" s="30">
        <v>20294</v>
      </c>
      <c r="D240" s="37">
        <f>C240/C243*100</f>
        <v>0.75553968742682032</v>
      </c>
    </row>
    <row r="241" spans="1:4">
      <c r="A241" s="4" t="s">
        <v>14</v>
      </c>
      <c r="B241" s="6" t="s">
        <v>48</v>
      </c>
      <c r="C241" s="30">
        <v>22523</v>
      </c>
      <c r="D241" s="37">
        <f>C241/C243*100</f>
        <v>0.83852470582015737</v>
      </c>
    </row>
    <row r="242" spans="1:4">
      <c r="A242" s="4" t="s">
        <v>6</v>
      </c>
      <c r="B242" s="6" t="s">
        <v>394</v>
      </c>
      <c r="C242" s="30">
        <v>1000</v>
      </c>
      <c r="D242" s="37">
        <f>C242/C243*100</f>
        <v>3.7229707668612416E-2</v>
      </c>
    </row>
    <row r="243" spans="1:4">
      <c r="A243" s="42" t="s">
        <v>4</v>
      </c>
      <c r="B243" s="42"/>
      <c r="C243" s="34">
        <f>SUM(C185:C242)</f>
        <v>2686027</v>
      </c>
      <c r="D243" s="37">
        <f>SUM(D185:D242)</f>
        <v>100</v>
      </c>
    </row>
    <row r="245" spans="1:4">
      <c r="A245" s="43" t="s">
        <v>26</v>
      </c>
      <c r="B245" s="43"/>
      <c r="C245" s="43"/>
      <c r="D245" s="43"/>
    </row>
    <row r="246" spans="1:4" ht="30">
      <c r="A246" s="3" t="s">
        <v>1</v>
      </c>
      <c r="B246" s="3" t="s">
        <v>2</v>
      </c>
      <c r="C246" s="29" t="s">
        <v>3</v>
      </c>
      <c r="D246" s="39" t="s">
        <v>144</v>
      </c>
    </row>
    <row r="247" spans="1:4">
      <c r="A247" s="4" t="s">
        <v>5</v>
      </c>
      <c r="B247" s="6" t="s">
        <v>145</v>
      </c>
      <c r="C247" s="30">
        <f>483118</f>
        <v>483118</v>
      </c>
      <c r="D247" s="40">
        <f>(C247/C350)*100</f>
        <v>6.7726607223864894</v>
      </c>
    </row>
    <row r="248" spans="1:4">
      <c r="A248" s="4" t="s">
        <v>14</v>
      </c>
      <c r="B248" s="6" t="s">
        <v>161</v>
      </c>
      <c r="C248" s="30">
        <f>11000</f>
        <v>11000</v>
      </c>
      <c r="D248" s="40">
        <f>(C248/C350)*100</f>
        <v>0.15420511747906596</v>
      </c>
    </row>
    <row r="249" spans="1:4">
      <c r="A249" s="4" t="s">
        <v>14</v>
      </c>
      <c r="B249" s="6" t="s">
        <v>44</v>
      </c>
      <c r="C249" s="30">
        <f>80000</f>
        <v>80000</v>
      </c>
      <c r="D249" s="40">
        <f>(C249/C350)*100</f>
        <v>1.1214917634841159</v>
      </c>
    </row>
    <row r="250" spans="1:4">
      <c r="A250" s="4" t="s">
        <v>14</v>
      </c>
      <c r="B250" s="6" t="s">
        <v>162</v>
      </c>
      <c r="C250" s="30">
        <v>10945</v>
      </c>
      <c r="D250" s="40">
        <f>(C250/C350)*100</f>
        <v>0.15343409189167062</v>
      </c>
    </row>
    <row r="251" spans="1:4">
      <c r="A251" s="4" t="s">
        <v>19</v>
      </c>
      <c r="B251" s="6" t="s">
        <v>163</v>
      </c>
      <c r="C251" s="30">
        <v>732300</v>
      </c>
      <c r="D251" s="40">
        <f>(C251/C350)*100</f>
        <v>10.265855229992727</v>
      </c>
    </row>
    <row r="252" spans="1:4" ht="29.25">
      <c r="A252" s="4" t="s">
        <v>14</v>
      </c>
      <c r="B252" s="24" t="s">
        <v>164</v>
      </c>
      <c r="C252" s="30">
        <v>109660</v>
      </c>
      <c r="D252" s="40">
        <f>(C252/C350)*100</f>
        <v>1.5372848347958521</v>
      </c>
    </row>
    <row r="253" spans="1:4">
      <c r="A253" s="4" t="s">
        <v>17</v>
      </c>
      <c r="B253" s="6" t="s">
        <v>165</v>
      </c>
      <c r="C253" s="30">
        <v>558774</v>
      </c>
      <c r="D253" s="40">
        <f>(C253/C350)*100</f>
        <v>7.8332554831134189</v>
      </c>
    </row>
    <row r="254" spans="1:4">
      <c r="A254" s="4" t="s">
        <v>20</v>
      </c>
      <c r="B254" s="6" t="s">
        <v>166</v>
      </c>
      <c r="C254" s="30">
        <v>10000</v>
      </c>
      <c r="D254" s="40">
        <f>(C254/C350)*100</f>
        <v>0.14018647043551449</v>
      </c>
    </row>
    <row r="255" spans="1:4">
      <c r="A255" s="4" t="s">
        <v>14</v>
      </c>
      <c r="B255" s="6" t="s">
        <v>167</v>
      </c>
      <c r="C255" s="30">
        <v>2000</v>
      </c>
      <c r="D255" s="40">
        <f>(C255/C350)*100</f>
        <v>2.8037294087102902E-2</v>
      </c>
    </row>
    <row r="256" spans="1:4">
      <c r="A256" s="4" t="s">
        <v>17</v>
      </c>
      <c r="B256" s="6" t="s">
        <v>168</v>
      </c>
      <c r="C256" s="30">
        <v>855040</v>
      </c>
      <c r="D256" s="40">
        <f>(C256/C350)*100</f>
        <v>11.986503968118232</v>
      </c>
    </row>
    <row r="257" spans="1:4">
      <c r="A257" s="4" t="s">
        <v>15</v>
      </c>
      <c r="B257" s="6" t="s">
        <v>169</v>
      </c>
      <c r="C257" s="30">
        <v>50930</v>
      </c>
      <c r="D257" s="40">
        <f>(C257/C350)*100</f>
        <v>0.71396969392807541</v>
      </c>
    </row>
    <row r="258" spans="1:4">
      <c r="A258" s="4" t="s">
        <v>6</v>
      </c>
      <c r="B258" s="6" t="s">
        <v>170</v>
      </c>
      <c r="C258" s="30">
        <v>13000</v>
      </c>
      <c r="D258" s="40">
        <f>(C258/C350)*100</f>
        <v>0.18224241156616885</v>
      </c>
    </row>
    <row r="259" spans="1:4">
      <c r="A259" s="4" t="s">
        <v>20</v>
      </c>
      <c r="B259" s="6" t="s">
        <v>171</v>
      </c>
      <c r="C259" s="30">
        <v>4800</v>
      </c>
      <c r="D259" s="40">
        <f>(C259/C350)*100</f>
        <v>6.7289505809046954E-2</v>
      </c>
    </row>
    <row r="260" spans="1:4">
      <c r="A260" s="4" t="s">
        <v>20</v>
      </c>
      <c r="B260" s="6" t="s">
        <v>172</v>
      </c>
      <c r="C260" s="30">
        <v>7000</v>
      </c>
      <c r="D260" s="40">
        <f>(C260/C350)*100</f>
        <v>9.8130529304860145E-2</v>
      </c>
    </row>
    <row r="261" spans="1:4">
      <c r="A261" s="4" t="s">
        <v>22</v>
      </c>
      <c r="B261" s="6" t="s">
        <v>173</v>
      </c>
      <c r="C261" s="30">
        <v>25000</v>
      </c>
      <c r="D261" s="40">
        <f>(C261/C350)*100</f>
        <v>0.35046617608878627</v>
      </c>
    </row>
    <row r="262" spans="1:4">
      <c r="A262" s="4" t="s">
        <v>22</v>
      </c>
      <c r="B262" s="6" t="s">
        <v>174</v>
      </c>
      <c r="C262" s="30">
        <v>25000</v>
      </c>
      <c r="D262" s="40">
        <f>(C262/C350)*100</f>
        <v>0.35046617608878627</v>
      </c>
    </row>
    <row r="263" spans="1:4">
      <c r="A263" s="4" t="s">
        <v>14</v>
      </c>
      <c r="B263" s="6" t="s">
        <v>175</v>
      </c>
      <c r="C263" s="30">
        <v>6077</v>
      </c>
      <c r="D263" s="40">
        <f>(C263/C350)*100</f>
        <v>8.5191318083662163E-2</v>
      </c>
    </row>
    <row r="264" spans="1:4">
      <c r="A264" s="4" t="s">
        <v>20</v>
      </c>
      <c r="B264" s="6" t="s">
        <v>176</v>
      </c>
      <c r="C264" s="30">
        <v>50500</v>
      </c>
      <c r="D264" s="40">
        <f>(C264/C350)*100</f>
        <v>0.70794167569934829</v>
      </c>
    </row>
    <row r="265" spans="1:4">
      <c r="A265" s="4" t="s">
        <v>7</v>
      </c>
      <c r="B265" s="6" t="s">
        <v>234</v>
      </c>
      <c r="C265" s="30">
        <v>465</v>
      </c>
      <c r="D265" s="40">
        <f>(C265/C350)*100</f>
        <v>6.518670875251425E-3</v>
      </c>
    </row>
    <row r="266" spans="1:4">
      <c r="A266" s="4" t="s">
        <v>17</v>
      </c>
      <c r="B266" s="6" t="s">
        <v>147</v>
      </c>
      <c r="C266" s="30">
        <v>67728</v>
      </c>
      <c r="D266" s="40">
        <f>(C266/C350)*100</f>
        <v>0.94945492696565259</v>
      </c>
    </row>
    <row r="267" spans="1:4">
      <c r="A267" s="4" t="s">
        <v>17</v>
      </c>
      <c r="B267" s="7" t="s">
        <v>177</v>
      </c>
      <c r="C267" s="31">
        <v>10470</v>
      </c>
      <c r="D267" s="40">
        <f>(C267/C350)*100</f>
        <v>0.14677523454598368</v>
      </c>
    </row>
    <row r="268" spans="1:4">
      <c r="A268" s="4" t="s">
        <v>18</v>
      </c>
      <c r="B268" s="7" t="s">
        <v>178</v>
      </c>
      <c r="C268" s="31">
        <v>31360</v>
      </c>
      <c r="D268" s="40">
        <f>(C268/C350)*100</f>
        <v>0.43962477128577343</v>
      </c>
    </row>
    <row r="269" spans="1:4">
      <c r="A269" s="4" t="s">
        <v>17</v>
      </c>
      <c r="B269" s="7" t="s">
        <v>179</v>
      </c>
      <c r="C269" s="31">
        <v>500</v>
      </c>
      <c r="D269" s="40">
        <f>(C269/C350)*100</f>
        <v>7.0093235217757255E-3</v>
      </c>
    </row>
    <row r="270" spans="1:4">
      <c r="A270" s="4" t="s">
        <v>18</v>
      </c>
      <c r="B270" s="7" t="s">
        <v>180</v>
      </c>
      <c r="C270" s="31">
        <v>28105</v>
      </c>
      <c r="D270" s="40">
        <f>(C270/C350)*100</f>
        <v>0.39399407515901352</v>
      </c>
    </row>
    <row r="271" spans="1:4">
      <c r="A271" s="4" t="s">
        <v>14</v>
      </c>
      <c r="B271" s="7" t="s">
        <v>181</v>
      </c>
      <c r="C271" s="31">
        <v>1600</v>
      </c>
      <c r="D271" s="40">
        <f>(C271/C350)*100</f>
        <v>2.242983526968232E-2</v>
      </c>
    </row>
    <row r="272" spans="1:4">
      <c r="A272" s="4" t="s">
        <v>6</v>
      </c>
      <c r="B272" s="6" t="s">
        <v>182</v>
      </c>
      <c r="C272" s="32">
        <v>10454</v>
      </c>
      <c r="D272" s="40">
        <f>(C272/C350)*100</f>
        <v>0.14655093619328688</v>
      </c>
    </row>
    <row r="273" spans="1:4">
      <c r="A273" s="4" t="s">
        <v>6</v>
      </c>
      <c r="B273" s="6" t="s">
        <v>146</v>
      </c>
      <c r="C273" s="32">
        <f>34660</f>
        <v>34660</v>
      </c>
      <c r="D273" s="40">
        <f>(C273/C350)*100</f>
        <v>0.48588630652949322</v>
      </c>
    </row>
    <row r="274" spans="1:4">
      <c r="A274" s="4" t="s">
        <v>6</v>
      </c>
      <c r="B274" s="6" t="s">
        <v>65</v>
      </c>
      <c r="C274" s="32">
        <v>132144</v>
      </c>
      <c r="D274" s="40">
        <f>(C274/C350)*100</f>
        <v>1.8524800949230629</v>
      </c>
    </row>
    <row r="275" spans="1:4">
      <c r="A275" s="4" t="s">
        <v>6</v>
      </c>
      <c r="B275" s="6" t="s">
        <v>183</v>
      </c>
      <c r="C275" s="32">
        <v>14000</v>
      </c>
      <c r="D275" s="40">
        <f>(C275/C350)*100</f>
        <v>0.19626105860972029</v>
      </c>
    </row>
    <row r="276" spans="1:4">
      <c r="A276" s="4" t="s">
        <v>14</v>
      </c>
      <c r="B276" s="6" t="s">
        <v>184</v>
      </c>
      <c r="C276" s="32">
        <v>33630</v>
      </c>
      <c r="D276" s="40">
        <f>(C276/C350)*100</f>
        <v>0.47144710007463531</v>
      </c>
    </row>
    <row r="277" spans="1:4">
      <c r="A277" s="4" t="s">
        <v>14</v>
      </c>
      <c r="B277" s="6" t="s">
        <v>185</v>
      </c>
      <c r="C277" s="32">
        <v>23476</v>
      </c>
      <c r="D277" s="40">
        <f>(C277/C350)*100</f>
        <v>0.32910175799441388</v>
      </c>
    </row>
    <row r="278" spans="1:4">
      <c r="A278" s="4" t="s">
        <v>6</v>
      </c>
      <c r="B278" s="6" t="s">
        <v>186</v>
      </c>
      <c r="C278" s="32">
        <v>17700</v>
      </c>
      <c r="D278" s="40">
        <f>(C278/C350)*100</f>
        <v>0.24813005267086069</v>
      </c>
    </row>
    <row r="279" spans="1:4">
      <c r="A279" s="4" t="s">
        <v>19</v>
      </c>
      <c r="B279" s="6" t="s">
        <v>187</v>
      </c>
      <c r="C279" s="32">
        <v>12000</v>
      </c>
      <c r="D279" s="40">
        <f>(C279/C350)*100</f>
        <v>0.16822376452261739</v>
      </c>
    </row>
    <row r="280" spans="1:4">
      <c r="A280" s="4" t="s">
        <v>17</v>
      </c>
      <c r="B280" s="6" t="s">
        <v>188</v>
      </c>
      <c r="C280" s="32">
        <v>1100</v>
      </c>
      <c r="D280" s="40">
        <f>(C280/C350)*100</f>
        <v>1.5420511747906596E-2</v>
      </c>
    </row>
    <row r="281" spans="1:4">
      <c r="A281" s="4" t="s">
        <v>22</v>
      </c>
      <c r="B281" s="6" t="s">
        <v>189</v>
      </c>
      <c r="C281" s="32">
        <v>1000</v>
      </c>
      <c r="D281" s="40">
        <f>(C281/C350)*100</f>
        <v>1.4018647043551451E-2</v>
      </c>
    </row>
    <row r="282" spans="1:4">
      <c r="A282" s="4" t="s">
        <v>7</v>
      </c>
      <c r="B282" s="6" t="s">
        <v>391</v>
      </c>
      <c r="C282" s="32">
        <v>31010</v>
      </c>
      <c r="D282" s="40">
        <f>(C282/C350)*100</f>
        <v>0.43471824482053051</v>
      </c>
    </row>
    <row r="283" spans="1:4">
      <c r="A283" s="4" t="s">
        <v>6</v>
      </c>
      <c r="B283" s="6" t="s">
        <v>190</v>
      </c>
      <c r="C283" s="32">
        <v>559776</v>
      </c>
      <c r="D283" s="40">
        <f>(C283/C350)*100</f>
        <v>7.8473021674510566</v>
      </c>
    </row>
    <row r="284" spans="1:4">
      <c r="A284" s="4" t="s">
        <v>23</v>
      </c>
      <c r="B284" s="6" t="s">
        <v>148</v>
      </c>
      <c r="C284" s="32">
        <v>5000</v>
      </c>
      <c r="D284" s="40">
        <f>(C284/C350)*100</f>
        <v>7.0093235217757247E-2</v>
      </c>
    </row>
    <row r="285" spans="1:4">
      <c r="A285" s="4" t="s">
        <v>23</v>
      </c>
      <c r="B285" s="6" t="s">
        <v>149</v>
      </c>
      <c r="C285" s="32">
        <v>616</v>
      </c>
      <c r="D285" s="40">
        <f>(C285/C350)*100</f>
        <v>8.6354865788276936E-3</v>
      </c>
    </row>
    <row r="286" spans="1:4">
      <c r="A286" s="4" t="s">
        <v>15</v>
      </c>
      <c r="B286" s="6" t="s">
        <v>150</v>
      </c>
      <c r="C286" s="32">
        <v>320</v>
      </c>
      <c r="D286" s="40">
        <f>(C286/C350)*100</f>
        <v>4.4859670539364642E-3</v>
      </c>
    </row>
    <row r="287" spans="1:4">
      <c r="A287" s="4" t="s">
        <v>15</v>
      </c>
      <c r="B287" s="6" t="s">
        <v>151</v>
      </c>
      <c r="C287" s="32">
        <v>7700</v>
      </c>
      <c r="D287" s="40">
        <f>(C287/C350)*100</f>
        <v>0.10794358223534617</v>
      </c>
    </row>
    <row r="288" spans="1:4">
      <c r="A288" s="4" t="s">
        <v>6</v>
      </c>
      <c r="B288" s="6" t="s">
        <v>191</v>
      </c>
      <c r="C288" s="32">
        <f>32000</f>
        <v>32000</v>
      </c>
      <c r="D288" s="40">
        <f>(C288/C350)*100</f>
        <v>0.44859670539364643</v>
      </c>
    </row>
    <row r="289" spans="1:4">
      <c r="A289" s="4" t="s">
        <v>14</v>
      </c>
      <c r="B289" s="6" t="s">
        <v>192</v>
      </c>
      <c r="C289" s="32">
        <v>66900</v>
      </c>
      <c r="D289" s="40">
        <f>(C289/C350)*100</f>
        <v>0.93784748721359201</v>
      </c>
    </row>
    <row r="290" spans="1:4">
      <c r="A290" s="4" t="s">
        <v>17</v>
      </c>
      <c r="B290" s="6" t="s">
        <v>152</v>
      </c>
      <c r="C290" s="32">
        <v>4300</v>
      </c>
      <c r="D290" s="40">
        <f>(C290/C350)*100</f>
        <v>6.0280182287271236E-2</v>
      </c>
    </row>
    <row r="291" spans="1:4">
      <c r="A291" s="4" t="s">
        <v>6</v>
      </c>
      <c r="B291" s="6" t="s">
        <v>153</v>
      </c>
      <c r="C291" s="32">
        <v>12102</v>
      </c>
      <c r="D291" s="40">
        <f>(C291/C350)*100</f>
        <v>0.16965366652105965</v>
      </c>
    </row>
    <row r="292" spans="1:4">
      <c r="A292" s="4" t="s">
        <v>20</v>
      </c>
      <c r="B292" s="6" t="s">
        <v>193</v>
      </c>
      <c r="C292" s="32">
        <v>6550</v>
      </c>
      <c r="D292" s="40">
        <f>(C292/C350)*100</f>
        <v>9.1822138135262008E-2</v>
      </c>
    </row>
    <row r="293" spans="1:4">
      <c r="A293" s="4" t="s">
        <v>14</v>
      </c>
      <c r="B293" s="6" t="s">
        <v>116</v>
      </c>
      <c r="C293" s="32">
        <v>67550</v>
      </c>
      <c r="D293" s="40">
        <f>(C293/C350)*100</f>
        <v>0.94695960779190047</v>
      </c>
    </row>
    <row r="294" spans="1:4">
      <c r="A294" s="4" t="s">
        <v>19</v>
      </c>
      <c r="B294" s="6" t="s">
        <v>390</v>
      </c>
      <c r="C294" s="32">
        <v>52226</v>
      </c>
      <c r="D294" s="40">
        <f>(C294/C350)*100</f>
        <v>0.73213786049651808</v>
      </c>
    </row>
    <row r="295" spans="1:4">
      <c r="A295" s="4" t="s">
        <v>17</v>
      </c>
      <c r="B295" s="6" t="s">
        <v>194</v>
      </c>
      <c r="C295" s="32">
        <v>78000</v>
      </c>
      <c r="D295" s="40">
        <f>(C295/C350)*100</f>
        <v>1.093454469397013</v>
      </c>
    </row>
    <row r="296" spans="1:4">
      <c r="A296" s="4" t="s">
        <v>17</v>
      </c>
      <c r="B296" s="6" t="s">
        <v>195</v>
      </c>
      <c r="C296" s="32">
        <v>100000</v>
      </c>
      <c r="D296" s="40">
        <f>(C296/C350)*100</f>
        <v>1.4018647043551451</v>
      </c>
    </row>
    <row r="297" spans="1:4">
      <c r="A297" s="4" t="s">
        <v>19</v>
      </c>
      <c r="B297" s="6" t="s">
        <v>196</v>
      </c>
      <c r="C297" s="32">
        <v>83000</v>
      </c>
      <c r="D297" s="40">
        <f>(C297/C350)*100</f>
        <v>1.1635477046147704</v>
      </c>
    </row>
    <row r="298" spans="1:4">
      <c r="A298" s="4" t="s">
        <v>14</v>
      </c>
      <c r="B298" s="6" t="s">
        <v>197</v>
      </c>
      <c r="C298" s="30">
        <v>78900</v>
      </c>
      <c r="D298" s="40">
        <f>(C298/C350)*100</f>
        <v>1.1060712517362095</v>
      </c>
    </row>
    <row r="299" spans="1:4">
      <c r="A299" s="4" t="s">
        <v>6</v>
      </c>
      <c r="B299" s="6" t="s">
        <v>198</v>
      </c>
      <c r="C299" s="30">
        <v>64500</v>
      </c>
      <c r="D299" s="40">
        <f>(C299/C350)*100</f>
        <v>0.9042027343090685</v>
      </c>
    </row>
    <row r="300" spans="1:4">
      <c r="A300" s="4" t="s">
        <v>19</v>
      </c>
      <c r="B300" s="6" t="s">
        <v>199</v>
      </c>
      <c r="C300" s="30">
        <v>70000</v>
      </c>
      <c r="D300" s="40">
        <f>(C300/C350)*100</f>
        <v>0.98130529304860159</v>
      </c>
    </row>
    <row r="301" spans="1:4">
      <c r="A301" s="4" t="s">
        <v>6</v>
      </c>
      <c r="B301" s="6" t="s">
        <v>200</v>
      </c>
      <c r="C301" s="30">
        <v>84000</v>
      </c>
      <c r="D301" s="40">
        <f>(C301/C350)*100</f>
        <v>1.1775663516583217</v>
      </c>
    </row>
    <row r="302" spans="1:4">
      <c r="A302" s="4" t="s">
        <v>14</v>
      </c>
      <c r="B302" s="6" t="s">
        <v>201</v>
      </c>
      <c r="C302" s="30">
        <v>6863</v>
      </c>
      <c r="D302" s="40">
        <f>(C302/C350)*100</f>
        <v>9.6209974659893602E-2</v>
      </c>
    </row>
    <row r="303" spans="1:4">
      <c r="A303" s="4" t="s">
        <v>6</v>
      </c>
      <c r="B303" s="6" t="s">
        <v>202</v>
      </c>
      <c r="C303" s="30">
        <v>27000</v>
      </c>
      <c r="D303" s="40">
        <f>(C303/C350)*100</f>
        <v>0.37850347017588915</v>
      </c>
    </row>
    <row r="304" spans="1:4">
      <c r="A304" s="4" t="s">
        <v>14</v>
      </c>
      <c r="B304" s="6" t="s">
        <v>203</v>
      </c>
      <c r="C304" s="30">
        <v>2160</v>
      </c>
      <c r="D304" s="40">
        <f>(C304/C350)*100</f>
        <v>3.0280277614071135E-2</v>
      </c>
    </row>
    <row r="305" spans="1:4">
      <c r="A305" s="4" t="s">
        <v>14</v>
      </c>
      <c r="B305" s="6" t="s">
        <v>49</v>
      </c>
      <c r="C305" s="30">
        <f>13897</f>
        <v>13897</v>
      </c>
      <c r="D305" s="40">
        <f>(C305/C350)*100</f>
        <v>0.1948171379642345</v>
      </c>
    </row>
    <row r="306" spans="1:4">
      <c r="A306" s="4" t="s">
        <v>14</v>
      </c>
      <c r="B306" s="6" t="s">
        <v>204</v>
      </c>
      <c r="C306" s="30">
        <v>10000</v>
      </c>
      <c r="D306" s="40">
        <f>(C306/C350)*100</f>
        <v>0.14018647043551449</v>
      </c>
    </row>
    <row r="307" spans="1:4">
      <c r="A307" s="4" t="s">
        <v>15</v>
      </c>
      <c r="B307" s="6" t="s">
        <v>154</v>
      </c>
      <c r="C307" s="30">
        <v>107675</v>
      </c>
      <c r="D307" s="40">
        <f>(C307/C350)*100</f>
        <v>1.5094578204144025</v>
      </c>
    </row>
    <row r="308" spans="1:4">
      <c r="A308" s="4" t="s">
        <v>15</v>
      </c>
      <c r="B308" s="6" t="s">
        <v>155</v>
      </c>
      <c r="C308" s="30">
        <v>12000</v>
      </c>
      <c r="D308" s="40">
        <f>(C308/C350)*100</f>
        <v>0.16822376452261739</v>
      </c>
    </row>
    <row r="309" spans="1:4">
      <c r="A309" s="4" t="s">
        <v>22</v>
      </c>
      <c r="B309" s="6" t="s">
        <v>205</v>
      </c>
      <c r="C309" s="30">
        <v>1500</v>
      </c>
      <c r="D309" s="40">
        <f>(C309/C350)*100</f>
        <v>2.1027970565327174E-2</v>
      </c>
    </row>
    <row r="310" spans="1:4">
      <c r="A310" s="4" t="s">
        <v>15</v>
      </c>
      <c r="B310" s="6" t="s">
        <v>156</v>
      </c>
      <c r="C310" s="30">
        <v>14766</v>
      </c>
      <c r="D310" s="40">
        <f>(C310/C350)*100</f>
        <v>0.20699934224508071</v>
      </c>
    </row>
    <row r="311" spans="1:4">
      <c r="A311" s="4" t="s">
        <v>15</v>
      </c>
      <c r="B311" s="6" t="s">
        <v>157</v>
      </c>
      <c r="C311" s="30">
        <v>578</v>
      </c>
      <c r="D311" s="40">
        <f>(C311/C350)*100</f>
        <v>8.1027779911727379E-3</v>
      </c>
    </row>
    <row r="312" spans="1:4">
      <c r="A312" s="4" t="s">
        <v>5</v>
      </c>
      <c r="B312" s="6" t="s">
        <v>206</v>
      </c>
      <c r="C312" s="30">
        <v>5218</v>
      </c>
      <c r="D312" s="40">
        <f>(C312/C350)*100</f>
        <v>7.3149300273251464E-2</v>
      </c>
    </row>
    <row r="313" spans="1:4">
      <c r="A313" s="4" t="s">
        <v>6</v>
      </c>
      <c r="B313" s="6" t="s">
        <v>158</v>
      </c>
      <c r="C313" s="30">
        <v>15600</v>
      </c>
      <c r="D313" s="40">
        <f>(C313/C350)*100</f>
        <v>0.21869089387940266</v>
      </c>
    </row>
    <row r="314" spans="1:4">
      <c r="A314" s="4" t="s">
        <v>17</v>
      </c>
      <c r="B314" s="6" t="s">
        <v>159</v>
      </c>
      <c r="C314" s="30">
        <v>363757</v>
      </c>
      <c r="D314" s="40">
        <f>(C314/C350)*100</f>
        <v>5.0993809926211453</v>
      </c>
    </row>
    <row r="315" spans="1:4">
      <c r="A315" s="4" t="s">
        <v>24</v>
      </c>
      <c r="B315" s="6" t="s">
        <v>207</v>
      </c>
      <c r="C315" s="30">
        <v>112869</v>
      </c>
      <c r="D315" s="40">
        <f>(C315/C350)*100</f>
        <v>1.5822706731586085</v>
      </c>
    </row>
    <row r="316" spans="1:4">
      <c r="A316" s="4" t="s">
        <v>6</v>
      </c>
      <c r="B316" s="6" t="s">
        <v>389</v>
      </c>
      <c r="C316" s="30">
        <v>24000</v>
      </c>
      <c r="D316" s="40">
        <f>(C316/C350)*100</f>
        <v>0.33644752904523478</v>
      </c>
    </row>
    <row r="317" spans="1:4">
      <c r="A317" s="4" t="s">
        <v>5</v>
      </c>
      <c r="B317" s="6" t="s">
        <v>208</v>
      </c>
      <c r="C317" s="30">
        <v>5900</v>
      </c>
      <c r="D317" s="40">
        <f>(C317/C350)*100</f>
        <v>8.2710017556953563E-2</v>
      </c>
    </row>
    <row r="318" spans="1:4">
      <c r="A318" s="4" t="s">
        <v>5</v>
      </c>
      <c r="B318" s="6" t="s">
        <v>209</v>
      </c>
      <c r="C318" s="30">
        <v>51044</v>
      </c>
      <c r="D318" s="40">
        <f>(C318/C350)*100</f>
        <v>0.71556781969104022</v>
      </c>
    </row>
    <row r="319" spans="1:4">
      <c r="A319" s="4" t="s">
        <v>5</v>
      </c>
      <c r="B319" s="6" t="s">
        <v>210</v>
      </c>
      <c r="C319" s="30">
        <v>13450</v>
      </c>
      <c r="D319" s="40">
        <f>(C319/C350)*100</f>
        <v>0.18855080273576702</v>
      </c>
    </row>
    <row r="320" spans="1:4">
      <c r="A320" s="4" t="s">
        <v>5</v>
      </c>
      <c r="B320" s="6" t="s">
        <v>211</v>
      </c>
      <c r="C320" s="30">
        <v>3538</v>
      </c>
      <c r="D320" s="40">
        <f>(C320/C350)*100</f>
        <v>4.9597973240085025E-2</v>
      </c>
    </row>
    <row r="321" spans="1:4">
      <c r="A321" s="4" t="s">
        <v>5</v>
      </c>
      <c r="B321" s="6" t="s">
        <v>212</v>
      </c>
      <c r="C321" s="30">
        <v>3065</v>
      </c>
      <c r="D321" s="40">
        <f>(C321/C350)*100</f>
        <v>4.2967153188485194E-2</v>
      </c>
    </row>
    <row r="322" spans="1:4">
      <c r="A322" s="4" t="s">
        <v>5</v>
      </c>
      <c r="B322" s="6" t="s">
        <v>213</v>
      </c>
      <c r="C322" s="30">
        <v>2400</v>
      </c>
      <c r="D322" s="40">
        <f>(C322/C350)*100</f>
        <v>3.3644752904523477E-2</v>
      </c>
    </row>
    <row r="323" spans="1:4">
      <c r="A323" s="4" t="s">
        <v>17</v>
      </c>
      <c r="B323" s="6" t="s">
        <v>214</v>
      </c>
      <c r="C323" s="30">
        <v>2500</v>
      </c>
      <c r="D323" s="40">
        <f>(C323/C350)*100</f>
        <v>3.5046617608878623E-2</v>
      </c>
    </row>
    <row r="324" spans="1:4">
      <c r="A324" s="4" t="s">
        <v>17</v>
      </c>
      <c r="B324" s="6" t="s">
        <v>388</v>
      </c>
      <c r="C324" s="30">
        <v>1738</v>
      </c>
      <c r="D324" s="40">
        <f>(C324/C350)*100</f>
        <v>2.4364408561692419E-2</v>
      </c>
    </row>
    <row r="325" spans="1:4">
      <c r="A325" s="4" t="s">
        <v>22</v>
      </c>
      <c r="B325" s="6" t="s">
        <v>215</v>
      </c>
      <c r="C325" s="30">
        <v>1530</v>
      </c>
      <c r="D325" s="40">
        <f>(C325/C350)*100</f>
        <v>2.1448529976633719E-2</v>
      </c>
    </row>
    <row r="326" spans="1:4">
      <c r="A326" s="4" t="s">
        <v>19</v>
      </c>
      <c r="B326" s="8" t="s">
        <v>92</v>
      </c>
      <c r="C326" s="33">
        <v>2000</v>
      </c>
      <c r="D326" s="40">
        <f>(C326/C350)*100</f>
        <v>2.8037294087102902E-2</v>
      </c>
    </row>
    <row r="327" spans="1:4">
      <c r="A327" s="4" t="s">
        <v>20</v>
      </c>
      <c r="B327" s="6" t="s">
        <v>216</v>
      </c>
      <c r="C327" s="30">
        <v>13800</v>
      </c>
      <c r="D327" s="40">
        <f>(C327/C350)*100</f>
        <v>0.19345732920101</v>
      </c>
    </row>
    <row r="328" spans="1:4">
      <c r="A328" s="4" t="s">
        <v>17</v>
      </c>
      <c r="B328" s="6" t="s">
        <v>217</v>
      </c>
      <c r="C328" s="30">
        <v>7030</v>
      </c>
      <c r="D328" s="40">
        <f>(C328/C350)*100</f>
        <v>9.8551088716166704E-2</v>
      </c>
    </row>
    <row r="329" spans="1:4">
      <c r="A329" s="4" t="s">
        <v>17</v>
      </c>
      <c r="B329" s="6" t="s">
        <v>218</v>
      </c>
      <c r="C329" s="30">
        <v>6000</v>
      </c>
      <c r="D329" s="40">
        <f>(C329/C350)*100</f>
        <v>8.4111882261308696E-2</v>
      </c>
    </row>
    <row r="330" spans="1:4">
      <c r="A330" s="4" t="s">
        <v>17</v>
      </c>
      <c r="B330" s="6" t="s">
        <v>219</v>
      </c>
      <c r="C330" s="30">
        <v>2800</v>
      </c>
      <c r="D330" s="40">
        <f>(C330/C350)*100</f>
        <v>3.9252211721944062E-2</v>
      </c>
    </row>
    <row r="331" spans="1:4">
      <c r="A331" s="4" t="s">
        <v>17</v>
      </c>
      <c r="B331" s="6" t="s">
        <v>220</v>
      </c>
      <c r="C331" s="30">
        <v>16140</v>
      </c>
      <c r="D331" s="40">
        <f>(C331/C350)*100</f>
        <v>0.22626096328292039</v>
      </c>
    </row>
    <row r="332" spans="1:4">
      <c r="A332" s="4" t="s">
        <v>7</v>
      </c>
      <c r="B332" s="6" t="s">
        <v>221</v>
      </c>
      <c r="C332" s="30">
        <v>3450</v>
      </c>
      <c r="D332" s="40">
        <f>(C332/C350)*100</f>
        <v>4.8364332300252499E-2</v>
      </c>
    </row>
    <row r="333" spans="1:4">
      <c r="A333" s="4" t="s">
        <v>20</v>
      </c>
      <c r="B333" s="6" t="s">
        <v>222</v>
      </c>
      <c r="C333" s="30">
        <v>2695</v>
      </c>
      <c r="D333" s="40">
        <f>(C333/C350)*100</f>
        <v>3.7780253782371154E-2</v>
      </c>
    </row>
    <row r="334" spans="1:4">
      <c r="A334" s="4" t="s">
        <v>17</v>
      </c>
      <c r="B334" s="6" t="s">
        <v>223</v>
      </c>
      <c r="C334" s="30">
        <v>500</v>
      </c>
      <c r="D334" s="40">
        <f>(C334/C350)*100</f>
        <v>7.0093235217757255E-3</v>
      </c>
    </row>
    <row r="335" spans="1:4">
      <c r="A335" s="4" t="s">
        <v>17</v>
      </c>
      <c r="B335" s="6" t="s">
        <v>224</v>
      </c>
      <c r="C335" s="30">
        <v>300</v>
      </c>
      <c r="D335" s="40">
        <f>(C335/C350)*100</f>
        <v>4.2055941130654346E-3</v>
      </c>
    </row>
    <row r="336" spans="1:4">
      <c r="A336" s="4" t="s">
        <v>17</v>
      </c>
      <c r="B336" s="6" t="s">
        <v>225</v>
      </c>
      <c r="C336" s="30">
        <v>2280</v>
      </c>
      <c r="D336" s="40">
        <f>(C336/C350)*100</f>
        <v>3.196251525929731E-2</v>
      </c>
    </row>
    <row r="337" spans="1:4">
      <c r="A337" s="4" t="s">
        <v>5</v>
      </c>
      <c r="B337" s="6" t="s">
        <v>160</v>
      </c>
      <c r="C337" s="30">
        <v>3000</v>
      </c>
      <c r="D337" s="40">
        <f>(C337/C350)*100</f>
        <v>4.2055941130654348E-2</v>
      </c>
    </row>
    <row r="338" spans="1:4">
      <c r="A338" s="4" t="s">
        <v>20</v>
      </c>
      <c r="B338" s="6" t="s">
        <v>226</v>
      </c>
      <c r="C338" s="30">
        <v>4360</v>
      </c>
      <c r="D338" s="40">
        <f>(C338/C350)*100</f>
        <v>6.112130110988432E-2</v>
      </c>
    </row>
    <row r="339" spans="1:4">
      <c r="A339" s="4" t="s">
        <v>6</v>
      </c>
      <c r="B339" s="6" t="s">
        <v>227</v>
      </c>
      <c r="C339" s="30">
        <v>27596</v>
      </c>
      <c r="D339" s="40">
        <f>(C339/C350)*100</f>
        <v>0.3868585838138458</v>
      </c>
    </row>
    <row r="340" spans="1:4">
      <c r="A340" s="4" t="s">
        <v>17</v>
      </c>
      <c r="B340" s="6" t="s">
        <v>387</v>
      </c>
      <c r="C340" s="30">
        <v>8300</v>
      </c>
      <c r="D340" s="40">
        <f>(C340/C350)*100</f>
        <v>0.11635477046147705</v>
      </c>
    </row>
    <row r="341" spans="1:4">
      <c r="A341" s="4" t="s">
        <v>17</v>
      </c>
      <c r="B341" s="6" t="s">
        <v>137</v>
      </c>
      <c r="C341" s="30">
        <v>4300</v>
      </c>
      <c r="D341" s="40">
        <f>(C341/C350)*100</f>
        <v>6.0280182287271236E-2</v>
      </c>
    </row>
    <row r="342" spans="1:4">
      <c r="A342" s="4" t="s">
        <v>6</v>
      </c>
      <c r="B342" s="6" t="s">
        <v>228</v>
      </c>
      <c r="C342" s="30">
        <v>840</v>
      </c>
      <c r="D342" s="40">
        <f>(C342/C350)*100</f>
        <v>1.1775663516583218E-2</v>
      </c>
    </row>
    <row r="343" spans="1:4">
      <c r="A343" s="4" t="s">
        <v>6</v>
      </c>
      <c r="B343" s="6" t="s">
        <v>229</v>
      </c>
      <c r="C343" s="30">
        <v>44049</v>
      </c>
      <c r="D343" s="40">
        <f>(C343/C350)*100</f>
        <v>0.6175073836213979</v>
      </c>
    </row>
    <row r="344" spans="1:4">
      <c r="A344" s="4" t="s">
        <v>17</v>
      </c>
      <c r="B344" s="6" t="s">
        <v>230</v>
      </c>
      <c r="C344" s="30">
        <v>2500</v>
      </c>
      <c r="D344" s="40">
        <f>(C344/C350)*100</f>
        <v>3.5046617608878623E-2</v>
      </c>
    </row>
    <row r="345" spans="1:4">
      <c r="A345" s="4" t="s">
        <v>17</v>
      </c>
      <c r="B345" s="6" t="s">
        <v>231</v>
      </c>
      <c r="C345" s="30">
        <v>1800</v>
      </c>
      <c r="D345" s="40">
        <f>(C345/C350)*100</f>
        <v>2.5233564678392613E-2</v>
      </c>
    </row>
    <row r="346" spans="1:4">
      <c r="A346" s="4" t="s">
        <v>14</v>
      </c>
      <c r="B346" s="6" t="s">
        <v>119</v>
      </c>
      <c r="C346" s="30">
        <v>1262375</v>
      </c>
      <c r="D346" s="40">
        <f>(C346/C350)*100</f>
        <v>17.696789561603264</v>
      </c>
    </row>
    <row r="347" spans="1:4">
      <c r="A347" s="4" t="s">
        <v>6</v>
      </c>
      <c r="B347" s="6" t="s">
        <v>48</v>
      </c>
      <c r="C347" s="30">
        <v>13662</v>
      </c>
      <c r="D347" s="40">
        <f>(C347/C350)*100</f>
        <v>0.19152275590899992</v>
      </c>
    </row>
    <row r="348" spans="1:4">
      <c r="A348" s="4" t="s">
        <v>14</v>
      </c>
      <c r="B348" s="6" t="s">
        <v>232</v>
      </c>
      <c r="C348" s="30">
        <v>13900</v>
      </c>
      <c r="D348" s="40">
        <f>(C348/C350)*100</f>
        <v>0.19485919390536516</v>
      </c>
    </row>
    <row r="349" spans="1:4">
      <c r="A349" s="4" t="s">
        <v>9</v>
      </c>
      <c r="B349" s="6" t="s">
        <v>233</v>
      </c>
      <c r="C349" s="30">
        <v>26645</v>
      </c>
      <c r="D349" s="40">
        <f>(C349/C350)*100</f>
        <v>0.37352685047542838</v>
      </c>
    </row>
    <row r="350" spans="1:4">
      <c r="A350" s="42" t="s">
        <v>4</v>
      </c>
      <c r="B350" s="42"/>
      <c r="C350" s="34">
        <f>SUM(C247:C349)</f>
        <v>7133356</v>
      </c>
      <c r="D350" s="37">
        <f>SUM(D247:D349)</f>
        <v>99.999999999999986</v>
      </c>
    </row>
    <row r="352" spans="1:4">
      <c r="A352" s="43" t="s">
        <v>27</v>
      </c>
      <c r="B352" s="43"/>
      <c r="C352" s="43"/>
      <c r="D352" s="43"/>
    </row>
    <row r="353" spans="1:4" ht="30">
      <c r="A353" s="3" t="s">
        <v>1</v>
      </c>
      <c r="B353" s="3" t="s">
        <v>2</v>
      </c>
      <c r="C353" s="29" t="s">
        <v>3</v>
      </c>
      <c r="D353" s="39" t="s">
        <v>144</v>
      </c>
    </row>
    <row r="354" spans="1:4">
      <c r="A354" s="14" t="s">
        <v>5</v>
      </c>
      <c r="B354" s="15" t="s">
        <v>51</v>
      </c>
      <c r="C354" s="30">
        <v>10280</v>
      </c>
      <c r="D354" s="40">
        <f>(C354/C468)*100</f>
        <v>0.18217478234942561</v>
      </c>
    </row>
    <row r="355" spans="1:4">
      <c r="A355" s="14" t="s">
        <v>5</v>
      </c>
      <c r="B355" s="15" t="s">
        <v>52</v>
      </c>
      <c r="C355" s="30">
        <f>176948</f>
        <v>176948</v>
      </c>
      <c r="D355" s="40">
        <f>(C355/C468)*100</f>
        <v>3.1357454656776418</v>
      </c>
    </row>
    <row r="356" spans="1:4">
      <c r="A356" s="14" t="s">
        <v>14</v>
      </c>
      <c r="B356" s="15" t="s">
        <v>89</v>
      </c>
      <c r="C356" s="30">
        <v>9200</v>
      </c>
      <c r="D356" s="40">
        <f>(C356/C468)*100</f>
        <v>0.16303579743333807</v>
      </c>
    </row>
    <row r="357" spans="1:4">
      <c r="A357" s="14" t="s">
        <v>14</v>
      </c>
      <c r="B357" s="15" t="s">
        <v>90</v>
      </c>
      <c r="C357" s="30">
        <v>5640</v>
      </c>
      <c r="D357" s="40">
        <f>(C357/C468)*100</f>
        <v>9.9948032339568116E-2</v>
      </c>
    </row>
    <row r="358" spans="1:4">
      <c r="A358" s="14" t="s">
        <v>14</v>
      </c>
      <c r="B358" s="15" t="s">
        <v>91</v>
      </c>
      <c r="C358" s="30">
        <v>4000</v>
      </c>
      <c r="D358" s="40">
        <f>(C358/C468)*100</f>
        <v>7.0885129318842638E-2</v>
      </c>
    </row>
    <row r="359" spans="1:4">
      <c r="A359" s="14" t="s">
        <v>15</v>
      </c>
      <c r="B359" s="15" t="s">
        <v>53</v>
      </c>
      <c r="C359" s="30">
        <v>5115</v>
      </c>
      <c r="D359" s="40">
        <f>(C359/C468)*100</f>
        <v>9.0644359116470022E-2</v>
      </c>
    </row>
    <row r="360" spans="1:4">
      <c r="A360" s="14" t="s">
        <v>7</v>
      </c>
      <c r="B360" s="15" t="s">
        <v>54</v>
      </c>
      <c r="C360" s="30">
        <f>43620</f>
        <v>43620</v>
      </c>
      <c r="D360" s="40">
        <f>(C360/C468)*100</f>
        <v>0.77300233522197892</v>
      </c>
    </row>
    <row r="361" spans="1:4">
      <c r="A361" s="14" t="s">
        <v>12</v>
      </c>
      <c r="B361" s="15" t="s">
        <v>55</v>
      </c>
      <c r="C361" s="30">
        <v>15000</v>
      </c>
      <c r="D361" s="40">
        <f>(C361/C468)*100</f>
        <v>0.2658192349456599</v>
      </c>
    </row>
    <row r="362" spans="1:4">
      <c r="A362" s="14" t="s">
        <v>6</v>
      </c>
      <c r="B362" s="15" t="s">
        <v>56</v>
      </c>
      <c r="C362" s="30">
        <f>30737</f>
        <v>30737</v>
      </c>
      <c r="D362" s="40">
        <f>(C362/C468)*100</f>
        <v>0.54469905496831661</v>
      </c>
    </row>
    <row r="363" spans="1:4">
      <c r="A363" s="14" t="s">
        <v>19</v>
      </c>
      <c r="B363" s="15" t="s">
        <v>92</v>
      </c>
      <c r="C363" s="30">
        <v>15950</v>
      </c>
      <c r="D363" s="40">
        <f>(C363/C468)*100</f>
        <v>0.28265445315888504</v>
      </c>
    </row>
    <row r="364" spans="1:4">
      <c r="A364" s="14" t="s">
        <v>6</v>
      </c>
      <c r="B364" s="15" t="s">
        <v>57</v>
      </c>
      <c r="C364" s="30">
        <v>40108</v>
      </c>
      <c r="D364" s="40">
        <f>(C364/C468)*100</f>
        <v>0.71076519168003516</v>
      </c>
    </row>
    <row r="365" spans="1:4">
      <c r="A365" s="14" t="s">
        <v>24</v>
      </c>
      <c r="B365" s="15" t="s">
        <v>93</v>
      </c>
      <c r="C365" s="30">
        <v>5580</v>
      </c>
      <c r="D365" s="40">
        <f>(C365/C468)*100</f>
        <v>9.8884755399785487E-2</v>
      </c>
    </row>
    <row r="366" spans="1:4">
      <c r="A366" s="14" t="s">
        <v>15</v>
      </c>
      <c r="B366" s="15" t="s">
        <v>58</v>
      </c>
      <c r="C366" s="30">
        <v>700</v>
      </c>
      <c r="D366" s="40">
        <f>(C366/C468)*100</f>
        <v>1.2404897630797463E-2</v>
      </c>
    </row>
    <row r="367" spans="1:4">
      <c r="A367" s="14" t="s">
        <v>5</v>
      </c>
      <c r="B367" s="15" t="s">
        <v>94</v>
      </c>
      <c r="C367" s="30">
        <f>113127</f>
        <v>113127</v>
      </c>
      <c r="D367" s="40">
        <f>(C367/C468)*100</f>
        <v>2.0047555061131779</v>
      </c>
    </row>
    <row r="368" spans="1:4">
      <c r="A368" s="14" t="s">
        <v>15</v>
      </c>
      <c r="B368" s="15" t="s">
        <v>59</v>
      </c>
      <c r="C368" s="30">
        <f>80000</f>
        <v>80000</v>
      </c>
      <c r="D368" s="40">
        <f>(C368/C468)*100</f>
        <v>1.4177025863768529</v>
      </c>
    </row>
    <row r="369" spans="1:4">
      <c r="A369" s="14" t="s">
        <v>6</v>
      </c>
      <c r="B369" s="15" t="s">
        <v>60</v>
      </c>
      <c r="C369" s="30">
        <v>2070</v>
      </c>
      <c r="D369" s="40">
        <f>(C369/C468)*100</f>
        <v>3.6683054422501069E-2</v>
      </c>
    </row>
    <row r="370" spans="1:4">
      <c r="A370" s="14" t="s">
        <v>18</v>
      </c>
      <c r="B370" s="15" t="s">
        <v>61</v>
      </c>
      <c r="C370" s="30">
        <v>675</v>
      </c>
      <c r="D370" s="40">
        <f>(C370/C468)*100</f>
        <v>1.1961865572554697E-2</v>
      </c>
    </row>
    <row r="371" spans="1:4">
      <c r="A371" s="14" t="s">
        <v>20</v>
      </c>
      <c r="B371" s="15" t="s">
        <v>95</v>
      </c>
      <c r="C371" s="30">
        <v>37000</v>
      </c>
      <c r="D371" s="40">
        <f>(C371/C468)*100</f>
        <v>0.65568744619929442</v>
      </c>
    </row>
    <row r="372" spans="1:4">
      <c r="A372" s="14" t="s">
        <v>6</v>
      </c>
      <c r="B372" s="15" t="s">
        <v>62</v>
      </c>
      <c r="C372" s="30">
        <v>17700</v>
      </c>
      <c r="D372" s="40">
        <f>(C372/C468)*100</f>
        <v>0.3136666972358787</v>
      </c>
    </row>
    <row r="373" spans="1:4">
      <c r="A373" s="14" t="s">
        <v>19</v>
      </c>
      <c r="B373" s="15" t="s">
        <v>96</v>
      </c>
      <c r="C373" s="30">
        <v>6000</v>
      </c>
      <c r="D373" s="40">
        <f>(C373/C468)*100</f>
        <v>0.10632769397826397</v>
      </c>
    </row>
    <row r="374" spans="1:4">
      <c r="A374" s="14" t="s">
        <v>20</v>
      </c>
      <c r="B374" s="15" t="s">
        <v>97</v>
      </c>
      <c r="C374" s="30">
        <v>2819</v>
      </c>
      <c r="D374" s="40">
        <f>(C374/C468)*100</f>
        <v>4.9956294887454358E-2</v>
      </c>
    </row>
    <row r="375" spans="1:4">
      <c r="A375" s="14" t="s">
        <v>17</v>
      </c>
      <c r="B375" s="15" t="s">
        <v>98</v>
      </c>
      <c r="C375" s="30">
        <v>10000</v>
      </c>
      <c r="D375" s="40">
        <f>(C375/C468)*100</f>
        <v>0.17721282329710661</v>
      </c>
    </row>
    <row r="376" spans="1:4">
      <c r="A376" s="14" t="s">
        <v>14</v>
      </c>
      <c r="B376" s="15" t="s">
        <v>99</v>
      </c>
      <c r="C376" s="30">
        <v>19235</v>
      </c>
      <c r="D376" s="40">
        <f>(C376/C468)*100</f>
        <v>0.34086886561198454</v>
      </c>
    </row>
    <row r="377" spans="1:4">
      <c r="A377" s="14" t="s">
        <v>19</v>
      </c>
      <c r="B377" s="15" t="s">
        <v>100</v>
      </c>
      <c r="C377" s="30">
        <v>2000</v>
      </c>
      <c r="D377" s="40">
        <f>(C377/C468)*100</f>
        <v>3.5442564659421319E-2</v>
      </c>
    </row>
    <row r="378" spans="1:4">
      <c r="A378" s="14" t="s">
        <v>18</v>
      </c>
      <c r="B378" s="17" t="s">
        <v>101</v>
      </c>
      <c r="C378" s="31">
        <v>31815</v>
      </c>
      <c r="D378" s="40">
        <f>(C378/C468)*100</f>
        <v>0.56380259731974469</v>
      </c>
    </row>
    <row r="379" spans="1:4">
      <c r="A379" s="14" t="s">
        <v>19</v>
      </c>
      <c r="B379" s="17" t="s">
        <v>102</v>
      </c>
      <c r="C379" s="31">
        <v>1500</v>
      </c>
      <c r="D379" s="40">
        <f>(C379/C468)*100</f>
        <v>2.6581923494565993E-2</v>
      </c>
    </row>
    <row r="380" spans="1:4">
      <c r="A380" s="14" t="s">
        <v>18</v>
      </c>
      <c r="B380" s="15" t="s">
        <v>103</v>
      </c>
      <c r="C380" s="31">
        <v>4500</v>
      </c>
      <c r="D380" s="40">
        <f>(C380/C468)*100</f>
        <v>7.9745770483697964E-2</v>
      </c>
    </row>
    <row r="381" spans="1:4">
      <c r="A381" s="14" t="s">
        <v>18</v>
      </c>
      <c r="B381" s="15" t="s">
        <v>104</v>
      </c>
      <c r="C381" s="31">
        <v>17040</v>
      </c>
      <c r="D381" s="40">
        <f>(C381/C468)*100</f>
        <v>0.30197065089826963</v>
      </c>
    </row>
    <row r="382" spans="1:4">
      <c r="A382" s="14" t="s">
        <v>6</v>
      </c>
      <c r="B382" s="15" t="s">
        <v>105</v>
      </c>
      <c r="C382" s="32">
        <v>1250</v>
      </c>
      <c r="D382" s="40">
        <f>(C382/C468)*100</f>
        <v>2.2151602912138326E-2</v>
      </c>
    </row>
    <row r="383" spans="1:4">
      <c r="A383" s="14" t="s">
        <v>22</v>
      </c>
      <c r="B383" s="15" t="s">
        <v>106</v>
      </c>
      <c r="C383" s="32">
        <v>8000</v>
      </c>
      <c r="D383" s="40">
        <f>(C383/C468)*100</f>
        <v>0.14177025863768528</v>
      </c>
    </row>
    <row r="384" spans="1:4">
      <c r="A384" s="14" t="s">
        <v>6</v>
      </c>
      <c r="B384" s="15" t="s">
        <v>107</v>
      </c>
      <c r="C384" s="32">
        <v>28792</v>
      </c>
      <c r="D384" s="40">
        <f>(C384/C468)*100</f>
        <v>0.51023116083702935</v>
      </c>
    </row>
    <row r="385" spans="1:4">
      <c r="A385" s="14" t="s">
        <v>5</v>
      </c>
      <c r="B385" s="15" t="s">
        <v>52</v>
      </c>
      <c r="C385" s="32">
        <v>72211</v>
      </c>
      <c r="D385" s="40">
        <f>(C385/C468)*100</f>
        <v>1.2796715183107366</v>
      </c>
    </row>
    <row r="386" spans="1:4">
      <c r="A386" s="14" t="s">
        <v>6</v>
      </c>
      <c r="B386" s="15" t="s">
        <v>63</v>
      </c>
      <c r="C386" s="32">
        <f>549965</f>
        <v>549965</v>
      </c>
      <c r="D386" s="40">
        <f>(C386/C468)*100</f>
        <v>9.7460850364593234</v>
      </c>
    </row>
    <row r="387" spans="1:4">
      <c r="A387" s="14" t="s">
        <v>14</v>
      </c>
      <c r="B387" s="15" t="s">
        <v>108</v>
      </c>
      <c r="C387" s="32">
        <v>117550</v>
      </c>
      <c r="D387" s="40">
        <f>(C387/C468)*100</f>
        <v>2.0831367378574881</v>
      </c>
    </row>
    <row r="388" spans="1:4">
      <c r="A388" s="14" t="s">
        <v>15</v>
      </c>
      <c r="B388" s="15" t="s">
        <v>64</v>
      </c>
      <c r="C388" s="32">
        <v>12900</v>
      </c>
      <c r="D388" s="40">
        <f>(C388/C468)*100</f>
        <v>0.22860454205326752</v>
      </c>
    </row>
    <row r="389" spans="1:4">
      <c r="A389" s="14" t="s">
        <v>6</v>
      </c>
      <c r="B389" s="15" t="s">
        <v>65</v>
      </c>
      <c r="C389" s="32">
        <v>265361</v>
      </c>
      <c r="D389" s="40">
        <f>(C389/C468)*100</f>
        <v>4.7025372002943504</v>
      </c>
    </row>
    <row r="390" spans="1:4">
      <c r="A390" s="14" t="s">
        <v>20</v>
      </c>
      <c r="B390" s="15" t="s">
        <v>109</v>
      </c>
      <c r="C390" s="32">
        <v>500</v>
      </c>
      <c r="D390" s="40">
        <f>(C390/C468)*100</f>
        <v>8.8606411648553297E-3</v>
      </c>
    </row>
    <row r="391" spans="1:4">
      <c r="A391" s="15" t="s">
        <v>13</v>
      </c>
      <c r="B391" s="15" t="s">
        <v>66</v>
      </c>
      <c r="C391" s="32">
        <v>15950</v>
      </c>
      <c r="D391" s="40">
        <f>(C391/C468)*100</f>
        <v>0.28265445315888504</v>
      </c>
    </row>
    <row r="392" spans="1:4">
      <c r="A392" s="14" t="s">
        <v>6</v>
      </c>
      <c r="B392" s="15" t="s">
        <v>67</v>
      </c>
      <c r="C392" s="32">
        <v>29893</v>
      </c>
      <c r="D392" s="40">
        <f>(C392/C468)*100</f>
        <v>0.52974229268204076</v>
      </c>
    </row>
    <row r="393" spans="1:4">
      <c r="A393" s="14" t="s">
        <v>20</v>
      </c>
      <c r="B393" s="15" t="s">
        <v>110</v>
      </c>
      <c r="C393" s="32">
        <v>30403</v>
      </c>
      <c r="D393" s="40">
        <f>(C393/C468)*100</f>
        <v>0.53878014667019314</v>
      </c>
    </row>
    <row r="394" spans="1:4">
      <c r="A394" s="14" t="s">
        <v>15</v>
      </c>
      <c r="B394" s="15" t="s">
        <v>68</v>
      </c>
      <c r="C394" s="32">
        <f>5000</f>
        <v>5000</v>
      </c>
      <c r="D394" s="40">
        <f>(C394/C468)*100</f>
        <v>8.8606411648553304E-2</v>
      </c>
    </row>
    <row r="395" spans="1:4">
      <c r="A395" s="14" t="s">
        <v>15</v>
      </c>
      <c r="B395" s="15" t="s">
        <v>69</v>
      </c>
      <c r="C395" s="32">
        <v>9795</v>
      </c>
      <c r="D395" s="40">
        <f>(C395/C468)*100</f>
        <v>0.1735799604195159</v>
      </c>
    </row>
    <row r="396" spans="1:4">
      <c r="A396" s="14" t="s">
        <v>15</v>
      </c>
      <c r="B396" s="15" t="s">
        <v>70</v>
      </c>
      <c r="C396" s="32">
        <v>6000</v>
      </c>
      <c r="D396" s="40">
        <f>(C396/C468)*100</f>
        <v>0.10632769397826397</v>
      </c>
    </row>
    <row r="397" spans="1:4">
      <c r="A397" s="14" t="s">
        <v>11</v>
      </c>
      <c r="B397" s="15" t="s">
        <v>111</v>
      </c>
      <c r="C397" s="32">
        <v>10000</v>
      </c>
      <c r="D397" s="40">
        <f>(C397/C468)*100</f>
        <v>0.17721282329710661</v>
      </c>
    </row>
    <row r="398" spans="1:4">
      <c r="A398" s="14" t="s">
        <v>22</v>
      </c>
      <c r="B398" s="15" t="s">
        <v>112</v>
      </c>
      <c r="C398" s="32">
        <v>10000</v>
      </c>
      <c r="D398" s="40">
        <f>(C398/C468)*100</f>
        <v>0.17721282329710661</v>
      </c>
    </row>
    <row r="399" spans="1:4">
      <c r="A399" s="14" t="s">
        <v>19</v>
      </c>
      <c r="B399" s="15" t="s">
        <v>113</v>
      </c>
      <c r="C399" s="32">
        <v>37000</v>
      </c>
      <c r="D399" s="40">
        <f>(C399/C468)*100</f>
        <v>0.65568744619929442</v>
      </c>
    </row>
    <row r="400" spans="1:4">
      <c r="A400" s="14" t="s">
        <v>14</v>
      </c>
      <c r="B400" s="15" t="s">
        <v>114</v>
      </c>
      <c r="C400" s="32">
        <v>18960</v>
      </c>
      <c r="D400" s="40">
        <f>(C400/C468)*100</f>
        <v>0.33599551297131414</v>
      </c>
    </row>
    <row r="401" spans="1:4">
      <c r="A401" s="14" t="s">
        <v>11</v>
      </c>
      <c r="B401" s="15" t="s">
        <v>115</v>
      </c>
      <c r="C401" s="32">
        <v>26550</v>
      </c>
      <c r="D401" s="40">
        <f>(C401/C468)*100</f>
        <v>0.47050004585381805</v>
      </c>
    </row>
    <row r="402" spans="1:4">
      <c r="A402" s="14" t="s">
        <v>14</v>
      </c>
      <c r="B402" s="15" t="s">
        <v>116</v>
      </c>
      <c r="C402" s="32">
        <v>81550</v>
      </c>
      <c r="D402" s="40">
        <f>(C402/C468)*100</f>
        <v>1.4451705739879044</v>
      </c>
    </row>
    <row r="403" spans="1:4">
      <c r="A403" s="14" t="s">
        <v>20</v>
      </c>
      <c r="B403" s="15" t="s">
        <v>71</v>
      </c>
      <c r="C403" s="32">
        <v>2000</v>
      </c>
      <c r="D403" s="40">
        <f>(C403/C468)*100</f>
        <v>3.5442564659421319E-2</v>
      </c>
    </row>
    <row r="404" spans="1:4">
      <c r="A404" s="14" t="s">
        <v>6</v>
      </c>
      <c r="B404" s="15" t="s">
        <v>72</v>
      </c>
      <c r="C404" s="32">
        <v>5800</v>
      </c>
      <c r="D404" s="40">
        <f>(C404/C468)*100</f>
        <v>0.10278343751232183</v>
      </c>
    </row>
    <row r="405" spans="1:4">
      <c r="A405" s="20" t="s">
        <v>30</v>
      </c>
      <c r="B405" s="15" t="s">
        <v>31</v>
      </c>
      <c r="C405" s="32">
        <v>6640</v>
      </c>
      <c r="D405" s="40">
        <f>(C405/C468)*100</f>
        <v>0.11766931466927878</v>
      </c>
    </row>
    <row r="406" spans="1:4">
      <c r="A406" s="20" t="s">
        <v>30</v>
      </c>
      <c r="B406" s="15" t="s">
        <v>32</v>
      </c>
      <c r="C406" s="32">
        <v>5200</v>
      </c>
      <c r="D406" s="40">
        <f>(C406/C468)*100</f>
        <v>9.2150668114495432E-2</v>
      </c>
    </row>
    <row r="407" spans="1:4">
      <c r="A407" s="20" t="s">
        <v>30</v>
      </c>
      <c r="B407" s="15" t="s">
        <v>33</v>
      </c>
      <c r="C407" s="32">
        <v>40100</v>
      </c>
      <c r="D407" s="40">
        <f>(C407/C468)*100</f>
        <v>0.71062342142139745</v>
      </c>
    </row>
    <row r="408" spans="1:4">
      <c r="A408" s="20" t="s">
        <v>30</v>
      </c>
      <c r="B408" s="15" t="s">
        <v>34</v>
      </c>
      <c r="C408" s="32">
        <v>34000</v>
      </c>
      <c r="D408" s="40">
        <f>(C408/C468)*100</f>
        <v>0.60252359921016241</v>
      </c>
    </row>
    <row r="409" spans="1:4">
      <c r="A409" s="20" t="s">
        <v>30</v>
      </c>
      <c r="B409" s="15" t="s">
        <v>35</v>
      </c>
      <c r="C409" s="32">
        <v>4000</v>
      </c>
      <c r="D409" s="40">
        <f>(C409/C468)*100</f>
        <v>7.0885129318842638E-2</v>
      </c>
    </row>
    <row r="410" spans="1:4">
      <c r="A410" s="20" t="s">
        <v>30</v>
      </c>
      <c r="B410" s="15" t="s">
        <v>36</v>
      </c>
      <c r="C410" s="32">
        <v>31000</v>
      </c>
      <c r="D410" s="40">
        <f>(C410/C468)*100</f>
        <v>0.54935975222103051</v>
      </c>
    </row>
    <row r="411" spans="1:4">
      <c r="A411" s="14" t="s">
        <v>14</v>
      </c>
      <c r="B411" s="15" t="s">
        <v>117</v>
      </c>
      <c r="C411" s="32">
        <v>38900</v>
      </c>
      <c r="D411" s="40">
        <f>(C411/C468)*100</f>
        <v>0.68935788262574471</v>
      </c>
    </row>
    <row r="412" spans="1:4">
      <c r="A412" s="14" t="s">
        <v>22</v>
      </c>
      <c r="B412" s="15" t="s">
        <v>118</v>
      </c>
      <c r="C412" s="30">
        <v>1000</v>
      </c>
      <c r="D412" s="40">
        <f>(C412/C468)*100</f>
        <v>1.7721282329710659E-2</v>
      </c>
    </row>
    <row r="413" spans="1:4">
      <c r="A413" s="14" t="s">
        <v>14</v>
      </c>
      <c r="B413" s="15" t="s">
        <v>119</v>
      </c>
      <c r="C413" s="30">
        <f>1792900</f>
        <v>1792900</v>
      </c>
      <c r="D413" s="40">
        <f>(C413/C468)*100</f>
        <v>31.772487088938245</v>
      </c>
    </row>
    <row r="414" spans="1:4">
      <c r="A414" s="14" t="s">
        <v>14</v>
      </c>
      <c r="B414" s="15" t="s">
        <v>120</v>
      </c>
      <c r="C414" s="30">
        <v>4500</v>
      </c>
      <c r="D414" s="40">
        <f>(C414/C468)*100</f>
        <v>7.9745770483697964E-2</v>
      </c>
    </row>
    <row r="415" spans="1:4">
      <c r="A415" s="14" t="s">
        <v>14</v>
      </c>
      <c r="B415" s="15" t="s">
        <v>37</v>
      </c>
      <c r="C415" s="30">
        <v>6837</v>
      </c>
      <c r="D415" s="40">
        <f>(C415/C468)*100</f>
        <v>0.12116040728823178</v>
      </c>
    </row>
    <row r="416" spans="1:4">
      <c r="A416" s="14" t="s">
        <v>12</v>
      </c>
      <c r="B416" s="15" t="s">
        <v>38</v>
      </c>
      <c r="C416" s="30">
        <f>38300</f>
        <v>38300</v>
      </c>
      <c r="D416" s="40">
        <f>(C416/C468)*100</f>
        <v>0.67872511322791829</v>
      </c>
    </row>
    <row r="417" spans="1:4">
      <c r="A417" s="14" t="s">
        <v>14</v>
      </c>
      <c r="B417" s="15" t="s">
        <v>39</v>
      </c>
      <c r="C417" s="30">
        <v>18000</v>
      </c>
      <c r="D417" s="40">
        <f>(C417/C468)*100</f>
        <v>0.31898308193479186</v>
      </c>
    </row>
    <row r="418" spans="1:4">
      <c r="A418" s="14" t="s">
        <v>14</v>
      </c>
      <c r="B418" s="15" t="s">
        <v>40</v>
      </c>
      <c r="C418" s="30">
        <v>2160</v>
      </c>
      <c r="D418" s="40">
        <f>(C418/C468)*100</f>
        <v>3.8277969832175025E-2</v>
      </c>
    </row>
    <row r="419" spans="1:4">
      <c r="A419" s="14" t="s">
        <v>15</v>
      </c>
      <c r="B419" s="15" t="s">
        <v>73</v>
      </c>
      <c r="C419" s="30">
        <v>1600</v>
      </c>
      <c r="D419" s="40">
        <f>(C419/C468)*100</f>
        <v>2.8354051727537057E-2</v>
      </c>
    </row>
    <row r="420" spans="1:4">
      <c r="A420" s="14" t="s">
        <v>15</v>
      </c>
      <c r="B420" s="15" t="s">
        <v>74</v>
      </c>
      <c r="C420" s="30">
        <v>2500</v>
      </c>
      <c r="D420" s="40">
        <f>(C420/C468)*100</f>
        <v>4.4303205824276652E-2</v>
      </c>
    </row>
    <row r="421" spans="1:4">
      <c r="A421" s="14" t="s">
        <v>6</v>
      </c>
      <c r="B421" s="15" t="s">
        <v>75</v>
      </c>
      <c r="C421" s="30">
        <v>246334</v>
      </c>
      <c r="D421" s="40">
        <f>(C421/C468)*100</f>
        <v>4.3653543614069461</v>
      </c>
    </row>
    <row r="422" spans="1:4">
      <c r="A422" s="14" t="s">
        <v>6</v>
      </c>
      <c r="B422" s="15" t="s">
        <v>76</v>
      </c>
      <c r="C422" s="30">
        <v>28600</v>
      </c>
      <c r="D422" s="40">
        <f>(C422/C468)*100</f>
        <v>0.50682867462972492</v>
      </c>
    </row>
    <row r="423" spans="1:4">
      <c r="A423" s="14" t="s">
        <v>24</v>
      </c>
      <c r="B423" s="15" t="s">
        <v>121</v>
      </c>
      <c r="C423" s="30">
        <v>11093</v>
      </c>
      <c r="D423" s="40">
        <f>(C423/C468)*100</f>
        <v>0.19658218488348037</v>
      </c>
    </row>
    <row r="424" spans="1:4">
      <c r="A424" s="14" t="s">
        <v>15</v>
      </c>
      <c r="B424" s="15" t="s">
        <v>77</v>
      </c>
      <c r="C424" s="30">
        <v>32500</v>
      </c>
      <c r="D424" s="40">
        <f>(C424/C468)*100</f>
        <v>0.5759416757155964</v>
      </c>
    </row>
    <row r="425" spans="1:4">
      <c r="A425" s="14" t="s">
        <v>15</v>
      </c>
      <c r="B425" s="15" t="s">
        <v>78</v>
      </c>
      <c r="C425" s="30">
        <v>13100</v>
      </c>
      <c r="D425" s="40">
        <f>(C425/C468)*100</f>
        <v>0.23214879851920964</v>
      </c>
    </row>
    <row r="426" spans="1:4">
      <c r="A426" s="14" t="s">
        <v>6</v>
      </c>
      <c r="B426" s="15" t="s">
        <v>122</v>
      </c>
      <c r="C426" s="30">
        <v>6000</v>
      </c>
      <c r="D426" s="40">
        <f>(C426/C468)*100</f>
        <v>0.10632769397826397</v>
      </c>
    </row>
    <row r="427" spans="1:4">
      <c r="A427" s="14" t="s">
        <v>15</v>
      </c>
      <c r="B427" s="15" t="s">
        <v>79</v>
      </c>
      <c r="C427" s="30">
        <v>8500</v>
      </c>
      <c r="D427" s="40">
        <f>(C427/C468)*100</f>
        <v>0.1506308998025406</v>
      </c>
    </row>
    <row r="428" spans="1:4">
      <c r="A428" s="14" t="s">
        <v>15</v>
      </c>
      <c r="B428" s="15" t="s">
        <v>80</v>
      </c>
      <c r="C428" s="30">
        <v>2000</v>
      </c>
      <c r="D428" s="40">
        <f>(C428/C468)*100</f>
        <v>3.5442564659421319E-2</v>
      </c>
    </row>
    <row r="429" spans="1:4">
      <c r="A429" s="14" t="s">
        <v>8</v>
      </c>
      <c r="B429" s="15" t="s">
        <v>81</v>
      </c>
      <c r="C429" s="30">
        <v>1000</v>
      </c>
      <c r="D429" s="40">
        <f>(C429/C468)*100</f>
        <v>1.7721282329710659E-2</v>
      </c>
    </row>
    <row r="430" spans="1:4">
      <c r="A430" s="14" t="s">
        <v>22</v>
      </c>
      <c r="B430" s="15" t="s">
        <v>123</v>
      </c>
      <c r="C430" s="35">
        <v>629502</v>
      </c>
      <c r="D430" s="40">
        <f>(C430/C468)*100</f>
        <v>11.15558266911752</v>
      </c>
    </row>
    <row r="431" spans="1:4">
      <c r="A431" s="14" t="s">
        <v>24</v>
      </c>
      <c r="B431" s="15" t="s">
        <v>124</v>
      </c>
      <c r="C431" s="30">
        <v>12756</v>
      </c>
      <c r="D431" s="40">
        <f>(C431/C468)*100</f>
        <v>0.2260526773977892</v>
      </c>
    </row>
    <row r="432" spans="1:4">
      <c r="A432" s="14" t="s">
        <v>24</v>
      </c>
      <c r="B432" s="15" t="s">
        <v>125</v>
      </c>
      <c r="C432" s="30">
        <v>7525</v>
      </c>
      <c r="D432" s="40">
        <f>(C432/C468)*100</f>
        <v>0.1333526495310727</v>
      </c>
    </row>
    <row r="433" spans="1:4">
      <c r="A433" s="14" t="s">
        <v>5</v>
      </c>
      <c r="B433" s="15" t="s">
        <v>126</v>
      </c>
      <c r="C433" s="30">
        <v>3900</v>
      </c>
      <c r="D433" s="40">
        <f>(C433/C468)*100</f>
        <v>6.9113001085871567E-2</v>
      </c>
    </row>
    <row r="434" spans="1:4">
      <c r="A434" s="14" t="s">
        <v>8</v>
      </c>
      <c r="B434" s="15" t="s">
        <v>82</v>
      </c>
      <c r="C434" s="30">
        <f>16328</f>
        <v>16328</v>
      </c>
      <c r="D434" s="40">
        <f>(C434/C468)*100</f>
        <v>0.28935309787951563</v>
      </c>
    </row>
    <row r="435" spans="1:4">
      <c r="A435" s="14" t="s">
        <v>6</v>
      </c>
      <c r="B435" s="15" t="s">
        <v>127</v>
      </c>
      <c r="C435" s="30">
        <v>20000</v>
      </c>
      <c r="D435" s="40">
        <f>(C435/C468)*100</f>
        <v>0.35442564659421322</v>
      </c>
    </row>
    <row r="436" spans="1:4">
      <c r="A436" s="14" t="s">
        <v>5</v>
      </c>
      <c r="B436" s="15" t="s">
        <v>128</v>
      </c>
      <c r="C436" s="30">
        <v>2245</v>
      </c>
      <c r="D436" s="40">
        <f>(C436/C468)*100</f>
        <v>3.9784278830200435E-2</v>
      </c>
    </row>
    <row r="437" spans="1:4">
      <c r="A437" s="14" t="s">
        <v>5</v>
      </c>
      <c r="B437" s="15" t="s">
        <v>129</v>
      </c>
      <c r="C437" s="30">
        <v>11000</v>
      </c>
      <c r="D437" s="40">
        <f>(C437/C468)*100</f>
        <v>0.19493410562681726</v>
      </c>
    </row>
    <row r="438" spans="1:4">
      <c r="A438" s="14" t="s">
        <v>5</v>
      </c>
      <c r="B438" s="15" t="s">
        <v>130</v>
      </c>
      <c r="C438" s="30">
        <v>2500</v>
      </c>
      <c r="D438" s="40">
        <f>(C438/C468)*100</f>
        <v>4.4303205824276652E-2</v>
      </c>
    </row>
    <row r="439" spans="1:4">
      <c r="A439" s="14" t="s">
        <v>5</v>
      </c>
      <c r="B439" s="15" t="s">
        <v>131</v>
      </c>
      <c r="C439" s="30">
        <v>50900</v>
      </c>
      <c r="D439" s="40">
        <f>(C439/C468)*100</f>
        <v>0.90201327058227265</v>
      </c>
    </row>
    <row r="440" spans="1:4">
      <c r="A440" s="14" t="s">
        <v>20</v>
      </c>
      <c r="B440" s="15" t="s">
        <v>132</v>
      </c>
      <c r="C440" s="30">
        <v>2800</v>
      </c>
      <c r="D440" s="40">
        <f>(C440/C468)*100</f>
        <v>4.9619590523189851E-2</v>
      </c>
    </row>
    <row r="441" spans="1:4">
      <c r="A441" s="14" t="s">
        <v>17</v>
      </c>
      <c r="B441" s="15" t="s">
        <v>133</v>
      </c>
      <c r="C441" s="30">
        <v>2170</v>
      </c>
      <c r="D441" s="40">
        <f>(C441/C468)*100</f>
        <v>3.8455182655472132E-2</v>
      </c>
    </row>
    <row r="442" spans="1:4">
      <c r="A442" s="14" t="s">
        <v>20</v>
      </c>
      <c r="B442" s="21" t="s">
        <v>134</v>
      </c>
      <c r="C442" s="33">
        <v>1000</v>
      </c>
      <c r="D442" s="40">
        <f>(C442/C468)*100</f>
        <v>1.7721282329710659E-2</v>
      </c>
    </row>
    <row r="443" spans="1:4">
      <c r="A443" s="14" t="s">
        <v>17</v>
      </c>
      <c r="B443" s="15" t="s">
        <v>135</v>
      </c>
      <c r="C443" s="30">
        <v>400</v>
      </c>
      <c r="D443" s="40">
        <f>(C443/C468)*100</f>
        <v>7.0885129318842641E-3</v>
      </c>
    </row>
    <row r="444" spans="1:4">
      <c r="A444" s="14" t="s">
        <v>5</v>
      </c>
      <c r="B444" s="15" t="s">
        <v>136</v>
      </c>
      <c r="C444" s="30">
        <v>8000</v>
      </c>
      <c r="D444" s="40">
        <f>(C444/C468)*100</f>
        <v>0.14177025863768528</v>
      </c>
    </row>
    <row r="445" spans="1:4">
      <c r="A445" s="14" t="s">
        <v>5</v>
      </c>
      <c r="B445" s="15" t="s">
        <v>83</v>
      </c>
      <c r="C445" s="30">
        <v>1300</v>
      </c>
      <c r="D445" s="40">
        <f>(C445/C468)*100</f>
        <v>2.3037667028623858E-2</v>
      </c>
    </row>
    <row r="446" spans="1:4">
      <c r="A446" s="20" t="s">
        <v>42</v>
      </c>
      <c r="B446" s="15" t="s">
        <v>41</v>
      </c>
      <c r="C446" s="30">
        <v>84113</v>
      </c>
      <c r="D446" s="40">
        <f>(C446/C468)*100</f>
        <v>1.4905902205989527</v>
      </c>
    </row>
    <row r="447" spans="1:4">
      <c r="A447" s="14" t="s">
        <v>17</v>
      </c>
      <c r="B447" s="15" t="s">
        <v>137</v>
      </c>
      <c r="C447" s="30">
        <f>13000</f>
        <v>13000</v>
      </c>
      <c r="D447" s="40">
        <f>(C447/C468)*100</f>
        <v>0.23037667028623859</v>
      </c>
    </row>
    <row r="448" spans="1:4">
      <c r="A448" s="14" t="s">
        <v>5</v>
      </c>
      <c r="B448" s="15" t="s">
        <v>84</v>
      </c>
      <c r="C448" s="30">
        <v>1650</v>
      </c>
      <c r="D448" s="40">
        <f>(C448/C468)*100</f>
        <v>2.9240115844022592E-2</v>
      </c>
    </row>
    <row r="449" spans="1:4">
      <c r="A449" s="14" t="s">
        <v>6</v>
      </c>
      <c r="B449" s="15" t="s">
        <v>85</v>
      </c>
      <c r="C449" s="30">
        <v>23655</v>
      </c>
      <c r="D449" s="40">
        <f>(C449/C468)*100</f>
        <v>0.4191969335093057</v>
      </c>
    </row>
    <row r="450" spans="1:4">
      <c r="A450" s="14" t="s">
        <v>19</v>
      </c>
      <c r="B450" s="15" t="s">
        <v>138</v>
      </c>
      <c r="C450" s="30">
        <v>4000</v>
      </c>
      <c r="D450" s="40">
        <f>(C450/C468)*100</f>
        <v>7.0885129318842638E-2</v>
      </c>
    </row>
    <row r="451" spans="1:4">
      <c r="A451" s="14" t="s">
        <v>17</v>
      </c>
      <c r="B451" s="15" t="s">
        <v>425</v>
      </c>
      <c r="C451" s="30">
        <v>23375</v>
      </c>
      <c r="D451" s="40">
        <f>(C451/C468)*100</f>
        <v>0.41423497445698665</v>
      </c>
    </row>
    <row r="452" spans="1:4">
      <c r="A452" s="14" t="s">
        <v>6</v>
      </c>
      <c r="B452" s="15" t="s">
        <v>139</v>
      </c>
      <c r="C452" s="30">
        <v>45400.5</v>
      </c>
      <c r="D452" s="40">
        <f>(C452/C468)*100</f>
        <v>0.80455507841002882</v>
      </c>
    </row>
    <row r="453" spans="1:4">
      <c r="A453" s="14" t="s">
        <v>6</v>
      </c>
      <c r="B453" s="21" t="s">
        <v>86</v>
      </c>
      <c r="C453" s="30">
        <v>2093</v>
      </c>
      <c r="D453" s="40">
        <f>(C453/C468)*100</f>
        <v>3.7090643916084416E-2</v>
      </c>
    </row>
    <row r="454" spans="1:4">
      <c r="A454" s="14" t="s">
        <v>6</v>
      </c>
      <c r="B454" s="21" t="s">
        <v>87</v>
      </c>
      <c r="C454" s="30">
        <v>10365</v>
      </c>
      <c r="D454" s="40">
        <f>(C454/C468)*100</f>
        <v>0.183681091347451</v>
      </c>
    </row>
    <row r="455" spans="1:4">
      <c r="A455" s="14" t="s">
        <v>17</v>
      </c>
      <c r="B455" s="21" t="s">
        <v>140</v>
      </c>
      <c r="C455" s="30">
        <v>1700</v>
      </c>
      <c r="D455" s="40">
        <f>(C455/C468)*100</f>
        <v>3.0126179960508124E-2</v>
      </c>
    </row>
    <row r="456" spans="1:4">
      <c r="A456" s="14" t="s">
        <v>17</v>
      </c>
      <c r="B456" s="21" t="s">
        <v>141</v>
      </c>
      <c r="C456" s="30">
        <v>850</v>
      </c>
      <c r="D456" s="40">
        <f>(C456/C468)*100</f>
        <v>1.5063089980254062E-2</v>
      </c>
    </row>
    <row r="457" spans="1:4">
      <c r="A457" s="14" t="s">
        <v>17</v>
      </c>
      <c r="B457" s="21" t="s">
        <v>142</v>
      </c>
      <c r="C457" s="30">
        <v>1000</v>
      </c>
      <c r="D457" s="40">
        <f>(C457/C468)*100</f>
        <v>1.7721282329710659E-2</v>
      </c>
    </row>
    <row r="458" spans="1:4">
      <c r="A458" s="14" t="s">
        <v>22</v>
      </c>
      <c r="B458" s="21" t="s">
        <v>143</v>
      </c>
      <c r="C458" s="30">
        <v>2000</v>
      </c>
      <c r="D458" s="40">
        <f>(C458/C468)*100</f>
        <v>3.5442564659421319E-2</v>
      </c>
    </row>
    <row r="459" spans="1:4">
      <c r="A459" s="20" t="s">
        <v>43</v>
      </c>
      <c r="B459" s="21" t="s">
        <v>44</v>
      </c>
      <c r="C459" s="30">
        <v>68400</v>
      </c>
      <c r="D459" s="40">
        <f>(C459/C468)*100</f>
        <v>1.2121357113522091</v>
      </c>
    </row>
    <row r="460" spans="1:4">
      <c r="A460" s="14" t="s">
        <v>22</v>
      </c>
      <c r="B460" s="21" t="s">
        <v>50</v>
      </c>
      <c r="C460" s="33">
        <v>1500</v>
      </c>
      <c r="D460" s="40">
        <f>(C460/C468)*100</f>
        <v>2.6581923494565993E-2</v>
      </c>
    </row>
    <row r="461" spans="1:4">
      <c r="A461" s="14" t="s">
        <v>14</v>
      </c>
      <c r="B461" s="15" t="s">
        <v>49</v>
      </c>
      <c r="C461" s="30">
        <v>13125</v>
      </c>
      <c r="D461" s="40">
        <f>(C461/C468)*100</f>
        <v>0.23259183057745245</v>
      </c>
    </row>
    <row r="462" spans="1:4">
      <c r="A462" s="14" t="s">
        <v>14</v>
      </c>
      <c r="B462" s="15" t="s">
        <v>48</v>
      </c>
      <c r="C462" s="30">
        <v>4218</v>
      </c>
      <c r="D462" s="40">
        <f>(C462/C468)*100</f>
        <v>7.4748368866719567E-2</v>
      </c>
    </row>
    <row r="463" spans="1:4">
      <c r="A463" s="14" t="s">
        <v>14</v>
      </c>
      <c r="B463" s="15" t="s">
        <v>47</v>
      </c>
      <c r="C463" s="30">
        <v>3800</v>
      </c>
      <c r="D463" s="40">
        <f>(C463/C468)*100</f>
        <v>6.734087285290051E-2</v>
      </c>
    </row>
    <row r="464" spans="1:4">
      <c r="A464" s="14" t="s">
        <v>14</v>
      </c>
      <c r="B464" s="15" t="s">
        <v>46</v>
      </c>
      <c r="C464" s="30">
        <v>6000</v>
      </c>
      <c r="D464" s="40">
        <f>(C464/C468)*100</f>
        <v>0.10632769397826397</v>
      </c>
    </row>
    <row r="465" spans="1:6">
      <c r="A465" s="14" t="s">
        <v>14</v>
      </c>
      <c r="B465" s="15" t="s">
        <v>45</v>
      </c>
      <c r="C465" s="30">
        <v>22520</v>
      </c>
      <c r="D465" s="40">
        <f>(C465/C468)*100</f>
        <v>0.39908327806508404</v>
      </c>
    </row>
    <row r="466" spans="1:6">
      <c r="A466" s="14" t="s">
        <v>17</v>
      </c>
      <c r="B466" s="15" t="s">
        <v>392</v>
      </c>
      <c r="C466" s="30">
        <v>35045</v>
      </c>
      <c r="D466" s="40">
        <f>(C466/C468)*100</f>
        <v>0.62104233924471008</v>
      </c>
    </row>
    <row r="467" spans="1:6">
      <c r="A467" s="14" t="s">
        <v>5</v>
      </c>
      <c r="B467" s="15" t="s">
        <v>88</v>
      </c>
      <c r="C467" s="30">
        <v>72244</v>
      </c>
      <c r="D467" s="40">
        <f>(C467/C468)*100</f>
        <v>1.280256320627617</v>
      </c>
    </row>
    <row r="468" spans="1:6">
      <c r="A468" s="44" t="s">
        <v>4</v>
      </c>
      <c r="B468" s="45"/>
      <c r="C468" s="34">
        <f>SUM(C354:C467)</f>
        <v>5642932.5</v>
      </c>
      <c r="D468" s="37">
        <f>SUM(D354:D467)</f>
        <v>99.999999999999943</v>
      </c>
      <c r="F468" s="12"/>
    </row>
  </sheetData>
  <mergeCells count="11">
    <mergeCell ref="A183:D183"/>
    <mergeCell ref="A1:D1"/>
    <mergeCell ref="A2:D2"/>
    <mergeCell ref="A106:B106"/>
    <mergeCell ref="A107:D107"/>
    <mergeCell ref="A181:B181"/>
    <mergeCell ref="A243:B243"/>
    <mergeCell ref="A245:D245"/>
    <mergeCell ref="A350:B350"/>
    <mergeCell ref="A352:D352"/>
    <mergeCell ref="A468:B468"/>
  </mergeCells>
  <conditionalFormatting sqref="B187">
    <cfRule type="duplicateValues" dxfId="166" priority="135"/>
  </conditionalFormatting>
  <conditionalFormatting sqref="B187">
    <cfRule type="duplicateValues" dxfId="165" priority="136"/>
    <cfRule type="duplicateValues" dxfId="164" priority="137"/>
  </conditionalFormatting>
  <conditionalFormatting sqref="B188">
    <cfRule type="duplicateValues" dxfId="163" priority="132"/>
  </conditionalFormatting>
  <conditionalFormatting sqref="B188">
    <cfRule type="duplicateValues" dxfId="162" priority="133"/>
    <cfRule type="duplicateValues" dxfId="161" priority="134"/>
  </conditionalFormatting>
  <conditionalFormatting sqref="B189">
    <cfRule type="duplicateValues" dxfId="160" priority="126"/>
  </conditionalFormatting>
  <conditionalFormatting sqref="B189">
    <cfRule type="duplicateValues" dxfId="159" priority="127"/>
    <cfRule type="duplicateValues" dxfId="158" priority="128"/>
  </conditionalFormatting>
  <conditionalFormatting sqref="B190">
    <cfRule type="duplicateValues" dxfId="157" priority="123"/>
  </conditionalFormatting>
  <conditionalFormatting sqref="B190">
    <cfRule type="duplicateValues" dxfId="156" priority="124"/>
    <cfRule type="duplicateValues" dxfId="155" priority="125"/>
  </conditionalFormatting>
  <conditionalFormatting sqref="B195">
    <cfRule type="duplicateValues" dxfId="154" priority="99"/>
  </conditionalFormatting>
  <conditionalFormatting sqref="B195">
    <cfRule type="duplicateValues" dxfId="153" priority="100"/>
    <cfRule type="duplicateValues" dxfId="152" priority="101"/>
  </conditionalFormatting>
  <conditionalFormatting sqref="B196">
    <cfRule type="duplicateValues" dxfId="151" priority="93"/>
  </conditionalFormatting>
  <conditionalFormatting sqref="B196">
    <cfRule type="duplicateValues" dxfId="150" priority="94"/>
    <cfRule type="duplicateValues" dxfId="149" priority="95"/>
  </conditionalFormatting>
  <conditionalFormatting sqref="B197">
    <cfRule type="duplicateValues" dxfId="148" priority="87"/>
  </conditionalFormatting>
  <conditionalFormatting sqref="B197">
    <cfRule type="duplicateValues" dxfId="147" priority="88"/>
    <cfRule type="duplicateValues" dxfId="146" priority="89"/>
  </conditionalFormatting>
  <conditionalFormatting sqref="B193:B194">
    <cfRule type="duplicateValues" dxfId="145" priority="84"/>
  </conditionalFormatting>
  <conditionalFormatting sqref="B193:B194">
    <cfRule type="duplicateValues" dxfId="144" priority="85"/>
    <cfRule type="duplicateValues" dxfId="143" priority="86"/>
  </conditionalFormatting>
  <conditionalFormatting sqref="B198">
    <cfRule type="duplicateValues" dxfId="142" priority="78"/>
  </conditionalFormatting>
  <conditionalFormatting sqref="B198">
    <cfRule type="duplicateValues" dxfId="141" priority="79"/>
    <cfRule type="duplicateValues" dxfId="140" priority="80"/>
  </conditionalFormatting>
  <conditionalFormatting sqref="B199">
    <cfRule type="duplicateValues" dxfId="139" priority="66"/>
  </conditionalFormatting>
  <conditionalFormatting sqref="B199">
    <cfRule type="duplicateValues" dxfId="138" priority="67"/>
    <cfRule type="duplicateValues" dxfId="137" priority="68"/>
  </conditionalFormatting>
  <conditionalFormatting sqref="B191">
    <cfRule type="duplicateValues" dxfId="136" priority="63"/>
  </conditionalFormatting>
  <conditionalFormatting sqref="B191">
    <cfRule type="duplicateValues" dxfId="135" priority="64"/>
    <cfRule type="duplicateValues" dxfId="134" priority="65"/>
  </conditionalFormatting>
  <conditionalFormatting sqref="B200">
    <cfRule type="duplicateValues" dxfId="133" priority="54"/>
  </conditionalFormatting>
  <conditionalFormatting sqref="B200">
    <cfRule type="duplicateValues" dxfId="132" priority="55"/>
    <cfRule type="duplicateValues" dxfId="131" priority="56"/>
  </conditionalFormatting>
  <conditionalFormatting sqref="B201">
    <cfRule type="duplicateValues" dxfId="130" priority="51"/>
  </conditionalFormatting>
  <conditionalFormatting sqref="B201">
    <cfRule type="duplicateValues" dxfId="129" priority="52"/>
    <cfRule type="duplicateValues" dxfId="128" priority="53"/>
  </conditionalFormatting>
  <conditionalFormatting sqref="B192">
    <cfRule type="duplicateValues" dxfId="127" priority="198"/>
  </conditionalFormatting>
  <conditionalFormatting sqref="B192">
    <cfRule type="duplicateValues" dxfId="126" priority="199"/>
    <cfRule type="duplicateValues" dxfId="125" priority="200"/>
  </conditionalFormatting>
  <conditionalFormatting sqref="A391">
    <cfRule type="duplicateValues" dxfId="124" priority="13"/>
  </conditionalFormatting>
  <conditionalFormatting sqref="B67">
    <cfRule type="duplicateValues" dxfId="123" priority="8"/>
  </conditionalFormatting>
  <conditionalFormatting sqref="B41">
    <cfRule type="duplicateValues" dxfId="122" priority="5"/>
  </conditionalFormatting>
  <conditionalFormatting sqref="B202:B213">
    <cfRule type="duplicateValues" dxfId="121" priority="1074"/>
  </conditionalFormatting>
  <conditionalFormatting sqref="B202:B213">
    <cfRule type="duplicateValues" dxfId="120" priority="1076"/>
    <cfRule type="duplicateValues" dxfId="119" priority="1077"/>
  </conditionalFormatting>
  <conditionalFormatting sqref="B214:B242">
    <cfRule type="duplicateValues" dxfId="118" priority="2277"/>
  </conditionalFormatting>
  <conditionalFormatting sqref="B214:B242">
    <cfRule type="duplicateValues" dxfId="117" priority="2279"/>
    <cfRule type="duplicateValues" dxfId="116" priority="2280"/>
  </conditionalFormatting>
  <conditionalFormatting sqref="B354:B375">
    <cfRule type="duplicateValues" dxfId="115" priority="3600"/>
  </conditionalFormatting>
  <conditionalFormatting sqref="B411:B443">
    <cfRule type="duplicateValues" dxfId="114" priority="5606"/>
  </conditionalFormatting>
  <conditionalFormatting sqref="B376:B410">
    <cfRule type="duplicateValues" dxfId="113" priority="6576"/>
  </conditionalFormatting>
  <conditionalFormatting sqref="B444:B467">
    <cfRule type="duplicateValues" dxfId="112" priority="6658"/>
  </conditionalFormatting>
  <conditionalFormatting sqref="B337:B341">
    <cfRule type="duplicateValues" dxfId="111" priority="8441"/>
    <cfRule type="duplicateValues" dxfId="110" priority="8442"/>
  </conditionalFormatting>
  <conditionalFormatting sqref="B329:B336">
    <cfRule type="duplicateValues" dxfId="109" priority="8511"/>
    <cfRule type="duplicateValues" dxfId="108" priority="8512"/>
  </conditionalFormatting>
  <conditionalFormatting sqref="B342:B349">
    <cfRule type="duplicateValues" dxfId="107" priority="8552"/>
    <cfRule type="duplicateValues" dxfId="106" priority="8553"/>
  </conditionalFormatting>
  <conditionalFormatting sqref="B247:B292">
    <cfRule type="duplicateValues" dxfId="105" priority="8744"/>
    <cfRule type="duplicateValues" dxfId="104" priority="8745"/>
  </conditionalFormatting>
  <conditionalFormatting sqref="B293:B328">
    <cfRule type="duplicateValues" dxfId="103" priority="8808"/>
    <cfRule type="duplicateValues" dxfId="102" priority="8809"/>
  </conditionalFormatting>
  <conditionalFormatting sqref="B109:B180">
    <cfRule type="duplicateValues" dxfId="101" priority="9091"/>
  </conditionalFormatting>
  <conditionalFormatting sqref="B109:B180">
    <cfRule type="duplicateValues" dxfId="100" priority="9093"/>
    <cfRule type="duplicateValues" dxfId="99" priority="9094"/>
  </conditionalFormatting>
  <conditionalFormatting sqref="B68:B105 B4:B40 B42:B66">
    <cfRule type="duplicateValues" dxfId="98" priority="9110"/>
  </conditionalFormatting>
  <conditionalFormatting sqref="B68:B105 B4:B40 B42:B66">
    <cfRule type="duplicateValues" dxfId="97" priority="9113"/>
    <cfRule type="duplicateValues" dxfId="96" priority="9114"/>
  </conditionalFormatting>
  <pageMargins left="0.47" right="0.28000000000000003" top="0.48" bottom="0.28000000000000003" header="0.3" footer="0.3"/>
  <pageSetup paperSize="9" scale="75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333"/>
  <sheetViews>
    <sheetView topLeftCell="A55" workbookViewId="0">
      <selection sqref="A1:C73"/>
    </sheetView>
  </sheetViews>
  <sheetFormatPr defaultRowHeight="15"/>
  <cols>
    <col min="1" max="1" width="26.85546875" bestFit="1" customWidth="1"/>
    <col min="2" max="2" width="55.28515625" bestFit="1" customWidth="1"/>
    <col min="3" max="3" width="11.85546875" bestFit="1" customWidth="1"/>
  </cols>
  <sheetData>
    <row r="1" spans="1:4" ht="15" customHeight="1">
      <c r="A1" s="47" t="s">
        <v>28</v>
      </c>
      <c r="B1" s="47"/>
      <c r="C1" s="47"/>
      <c r="D1" s="25"/>
    </row>
    <row r="2" spans="1:4" ht="48" customHeight="1">
      <c r="A2" s="3" t="s">
        <v>1</v>
      </c>
      <c r="B2" s="3" t="s">
        <v>2</v>
      </c>
      <c r="C2" s="3" t="s">
        <v>3</v>
      </c>
    </row>
    <row r="3" spans="1:4">
      <c r="A3" s="4" t="s">
        <v>14</v>
      </c>
      <c r="B3" s="6" t="s">
        <v>312</v>
      </c>
      <c r="C3" s="5">
        <f>25700</f>
        <v>25700</v>
      </c>
    </row>
    <row r="4" spans="1:4">
      <c r="A4" s="4" t="s">
        <v>7</v>
      </c>
      <c r="B4" s="6" t="s">
        <v>249</v>
      </c>
      <c r="C4" s="5">
        <f>56795</f>
        <v>56795</v>
      </c>
    </row>
    <row r="5" spans="1:4">
      <c r="A5" s="4" t="s">
        <v>22</v>
      </c>
      <c r="B5" s="6" t="s">
        <v>313</v>
      </c>
      <c r="C5" s="5">
        <f>2600</f>
        <v>2600</v>
      </c>
    </row>
    <row r="6" spans="1:4">
      <c r="A6" s="4" t="s">
        <v>7</v>
      </c>
      <c r="B6" s="6" t="s">
        <v>314</v>
      </c>
      <c r="C6" s="5">
        <f>11566</f>
        <v>11566</v>
      </c>
    </row>
    <row r="7" spans="1:4">
      <c r="A7" s="4" t="s">
        <v>14</v>
      </c>
      <c r="B7" s="6" t="s">
        <v>315</v>
      </c>
      <c r="C7" s="5">
        <f>1000</f>
        <v>1000</v>
      </c>
    </row>
    <row r="8" spans="1:4">
      <c r="A8" s="4" t="s">
        <v>14</v>
      </c>
      <c r="B8" s="6" t="s">
        <v>316</v>
      </c>
      <c r="C8" s="5">
        <f>26300</f>
        <v>26300</v>
      </c>
    </row>
    <row r="9" spans="1:4">
      <c r="A9" s="4" t="s">
        <v>5</v>
      </c>
      <c r="B9" s="6" t="s">
        <v>317</v>
      </c>
      <c r="C9" s="5">
        <f>73477</f>
        <v>73477</v>
      </c>
    </row>
    <row r="10" spans="1:4">
      <c r="A10" s="4" t="s">
        <v>14</v>
      </c>
      <c r="B10" s="6" t="s">
        <v>318</v>
      </c>
      <c r="C10" s="5">
        <f>7000</f>
        <v>7000</v>
      </c>
    </row>
    <row r="11" spans="1:4">
      <c r="A11" s="4" t="s">
        <v>6</v>
      </c>
      <c r="B11" s="7" t="s">
        <v>127</v>
      </c>
      <c r="C11" s="9">
        <f>6500</f>
        <v>6500</v>
      </c>
    </row>
    <row r="12" spans="1:4">
      <c r="A12" s="4" t="s">
        <v>14</v>
      </c>
      <c r="B12" s="7" t="s">
        <v>319</v>
      </c>
      <c r="C12" s="9">
        <f>9090</f>
        <v>9090</v>
      </c>
    </row>
    <row r="13" spans="1:4">
      <c r="A13" s="4" t="s">
        <v>6</v>
      </c>
      <c r="B13" s="7" t="s">
        <v>320</v>
      </c>
      <c r="C13" s="9">
        <f>10000</f>
        <v>10000</v>
      </c>
    </row>
    <row r="14" spans="1:4">
      <c r="A14" s="4" t="s">
        <v>6</v>
      </c>
      <c r="B14" s="8" t="s">
        <v>321</v>
      </c>
      <c r="C14" s="10">
        <f>3080</f>
        <v>3080</v>
      </c>
    </row>
    <row r="15" spans="1:4">
      <c r="A15" s="4" t="s">
        <v>19</v>
      </c>
      <c r="B15" s="6" t="s">
        <v>322</v>
      </c>
      <c r="C15" s="10">
        <f>118900</f>
        <v>118900</v>
      </c>
    </row>
    <row r="16" spans="1:4">
      <c r="A16" s="4" t="s">
        <v>6</v>
      </c>
      <c r="B16" s="6" t="s">
        <v>323</v>
      </c>
      <c r="C16" s="10">
        <f>11000</f>
        <v>11000</v>
      </c>
    </row>
    <row r="17" spans="1:3">
      <c r="A17" s="4" t="s">
        <v>24</v>
      </c>
      <c r="B17" s="6" t="s">
        <v>324</v>
      </c>
      <c r="C17" s="10">
        <f>20742</f>
        <v>20742</v>
      </c>
    </row>
    <row r="18" spans="1:3">
      <c r="A18" s="4" t="s">
        <v>15</v>
      </c>
      <c r="B18" s="6" t="s">
        <v>325</v>
      </c>
      <c r="C18" s="10">
        <f>1500</f>
        <v>1500</v>
      </c>
    </row>
    <row r="19" spans="1:3">
      <c r="A19" s="4" t="s">
        <v>24</v>
      </c>
      <c r="B19" s="6" t="s">
        <v>125</v>
      </c>
      <c r="C19" s="10">
        <f>7170</f>
        <v>7170</v>
      </c>
    </row>
    <row r="20" spans="1:3">
      <c r="A20" s="4" t="s">
        <v>24</v>
      </c>
      <c r="B20" s="6" t="s">
        <v>326</v>
      </c>
      <c r="C20" s="10">
        <f>600</f>
        <v>600</v>
      </c>
    </row>
    <row r="21" spans="1:3">
      <c r="A21" s="4" t="s">
        <v>14</v>
      </c>
      <c r="B21" s="6" t="s">
        <v>327</v>
      </c>
      <c r="C21" s="10">
        <f>2080</f>
        <v>2080</v>
      </c>
    </row>
    <row r="22" spans="1:3">
      <c r="A22" s="4" t="s">
        <v>14</v>
      </c>
      <c r="B22" s="6" t="s">
        <v>258</v>
      </c>
      <c r="C22" s="5">
        <f>1392050</f>
        <v>1392050</v>
      </c>
    </row>
    <row r="23" spans="1:3">
      <c r="A23" s="4" t="s">
        <v>6</v>
      </c>
      <c r="B23" s="6" t="s">
        <v>328</v>
      </c>
      <c r="C23" s="5">
        <f>400</f>
        <v>400</v>
      </c>
    </row>
    <row r="24" spans="1:3">
      <c r="A24" s="4" t="s">
        <v>14</v>
      </c>
      <c r="B24" s="6" t="s">
        <v>329</v>
      </c>
      <c r="C24" s="5">
        <f>8620</f>
        <v>8620</v>
      </c>
    </row>
    <row r="25" spans="1:3">
      <c r="A25" s="4" t="s">
        <v>14</v>
      </c>
      <c r="B25" s="6" t="s">
        <v>261</v>
      </c>
      <c r="C25" s="5">
        <f>31290</f>
        <v>31290</v>
      </c>
    </row>
    <row r="26" spans="1:3">
      <c r="A26" s="4" t="s">
        <v>19</v>
      </c>
      <c r="B26" s="6" t="s">
        <v>330</v>
      </c>
      <c r="C26" s="5">
        <f>900</f>
        <v>900</v>
      </c>
    </row>
    <row r="27" spans="1:3">
      <c r="A27" s="4" t="s">
        <v>14</v>
      </c>
      <c r="B27" s="6" t="s">
        <v>32</v>
      </c>
      <c r="C27" s="5">
        <f>62500</f>
        <v>62500</v>
      </c>
    </row>
    <row r="28" spans="1:3">
      <c r="A28" s="4" t="s">
        <v>6</v>
      </c>
      <c r="B28" s="6" t="s">
        <v>257</v>
      </c>
      <c r="C28" s="5">
        <f>298500</f>
        <v>298500</v>
      </c>
    </row>
    <row r="29" spans="1:3">
      <c r="A29" s="4" t="s">
        <v>6</v>
      </c>
      <c r="B29" s="6" t="s">
        <v>331</v>
      </c>
      <c r="C29" s="5">
        <f>217500</f>
        <v>217500</v>
      </c>
    </row>
    <row r="30" spans="1:3">
      <c r="A30" s="4" t="s">
        <v>6</v>
      </c>
      <c r="B30" s="6" t="s">
        <v>332</v>
      </c>
      <c r="C30" s="5">
        <f>5000</f>
        <v>5000</v>
      </c>
    </row>
    <row r="31" spans="1:3">
      <c r="A31" s="4" t="s">
        <v>5</v>
      </c>
      <c r="B31" s="6" t="s">
        <v>333</v>
      </c>
      <c r="C31" s="5">
        <f>835</f>
        <v>835</v>
      </c>
    </row>
    <row r="32" spans="1:3">
      <c r="A32" s="4" t="s">
        <v>14</v>
      </c>
      <c r="B32" s="8" t="s">
        <v>266</v>
      </c>
      <c r="C32" s="11">
        <f>11050</f>
        <v>11050</v>
      </c>
    </row>
    <row r="33" spans="1:3">
      <c r="A33" s="4" t="s">
        <v>20</v>
      </c>
      <c r="B33" s="6" t="s">
        <v>334</v>
      </c>
      <c r="C33" s="5">
        <f>2974</f>
        <v>2974</v>
      </c>
    </row>
    <row r="34" spans="1:3">
      <c r="A34" s="4" t="s">
        <v>22</v>
      </c>
      <c r="B34" s="6" t="s">
        <v>335</v>
      </c>
      <c r="C34" s="5">
        <f>106315</f>
        <v>106315</v>
      </c>
    </row>
    <row r="35" spans="1:3">
      <c r="A35" s="4" t="s">
        <v>17</v>
      </c>
      <c r="B35" s="6" t="s">
        <v>336</v>
      </c>
      <c r="C35" s="5">
        <f>11960</f>
        <v>11960</v>
      </c>
    </row>
    <row r="36" spans="1:3">
      <c r="A36" s="4" t="s">
        <v>17</v>
      </c>
      <c r="B36" s="6" t="s">
        <v>337</v>
      </c>
      <c r="C36" s="5">
        <f>3027</f>
        <v>3027</v>
      </c>
    </row>
    <row r="37" spans="1:3">
      <c r="A37" s="4" t="s">
        <v>20</v>
      </c>
      <c r="B37" s="6" t="s">
        <v>338</v>
      </c>
      <c r="C37" s="5">
        <f>7518</f>
        <v>7518</v>
      </c>
    </row>
    <row r="38" spans="1:3">
      <c r="A38" s="4" t="s">
        <v>20</v>
      </c>
      <c r="B38" s="6" t="s">
        <v>339</v>
      </c>
      <c r="C38" s="5">
        <f>11690</f>
        <v>11690</v>
      </c>
    </row>
    <row r="39" spans="1:3">
      <c r="A39" s="4" t="s">
        <v>20</v>
      </c>
      <c r="B39" s="6" t="s">
        <v>340</v>
      </c>
      <c r="C39" s="5">
        <f>7190</f>
        <v>7190</v>
      </c>
    </row>
    <row r="40" spans="1:3">
      <c r="A40" s="4" t="s">
        <v>10</v>
      </c>
      <c r="B40" s="6" t="s">
        <v>341</v>
      </c>
      <c r="C40" s="5">
        <f>6000</f>
        <v>6000</v>
      </c>
    </row>
    <row r="41" spans="1:3">
      <c r="A41" s="4" t="s">
        <v>14</v>
      </c>
      <c r="B41" s="6" t="s">
        <v>342</v>
      </c>
      <c r="C41" s="5">
        <f>10000</f>
        <v>10000</v>
      </c>
    </row>
    <row r="42" spans="1:3">
      <c r="A42" s="4" t="s">
        <v>14</v>
      </c>
      <c r="B42" s="6" t="s">
        <v>343</v>
      </c>
      <c r="C42" s="5">
        <f>10000</f>
        <v>10000</v>
      </c>
    </row>
    <row r="43" spans="1:3">
      <c r="A43" s="4" t="s">
        <v>22</v>
      </c>
      <c r="B43" s="6" t="s">
        <v>344</v>
      </c>
      <c r="C43" s="5">
        <f>1000</f>
        <v>1000</v>
      </c>
    </row>
    <row r="44" spans="1:3">
      <c r="A44" s="4" t="s">
        <v>17</v>
      </c>
      <c r="B44" s="6" t="s">
        <v>345</v>
      </c>
      <c r="C44" s="5">
        <f>4100</f>
        <v>4100</v>
      </c>
    </row>
    <row r="45" spans="1:3">
      <c r="A45" s="4" t="s">
        <v>20</v>
      </c>
      <c r="B45" s="6" t="s">
        <v>346</v>
      </c>
      <c r="C45" s="5">
        <f>710</f>
        <v>710</v>
      </c>
    </row>
    <row r="46" spans="1:3">
      <c r="A46" s="4" t="s">
        <v>17</v>
      </c>
      <c r="B46" s="6" t="s">
        <v>374</v>
      </c>
      <c r="C46" s="10">
        <f>22838</f>
        <v>22838</v>
      </c>
    </row>
    <row r="47" spans="1:3">
      <c r="A47" s="4" t="s">
        <v>24</v>
      </c>
      <c r="B47" s="6" t="s">
        <v>347</v>
      </c>
      <c r="C47" s="5">
        <f>20006</f>
        <v>20006</v>
      </c>
    </row>
    <row r="48" spans="1:3">
      <c r="A48" s="4" t="s">
        <v>14</v>
      </c>
      <c r="B48" s="6" t="s">
        <v>348</v>
      </c>
      <c r="C48" s="5">
        <f>4865</f>
        <v>4865</v>
      </c>
    </row>
    <row r="49" spans="1:3">
      <c r="A49" s="4" t="s">
        <v>17</v>
      </c>
      <c r="B49" s="6" t="s">
        <v>349</v>
      </c>
      <c r="C49" s="5">
        <f>8000</f>
        <v>8000</v>
      </c>
    </row>
    <row r="50" spans="1:3">
      <c r="A50" s="4" t="s">
        <v>17</v>
      </c>
      <c r="B50" s="6" t="s">
        <v>276</v>
      </c>
      <c r="C50" s="5">
        <f>43386</f>
        <v>43386</v>
      </c>
    </row>
    <row r="51" spans="1:3">
      <c r="A51" s="4" t="s">
        <v>5</v>
      </c>
      <c r="B51" s="6" t="s">
        <v>350</v>
      </c>
      <c r="C51" s="5">
        <f>31635</f>
        <v>31635</v>
      </c>
    </row>
    <row r="52" spans="1:3">
      <c r="A52" s="4" t="s">
        <v>17</v>
      </c>
      <c r="B52" s="6" t="s">
        <v>277</v>
      </c>
      <c r="C52" s="5">
        <f>1000</f>
        <v>1000</v>
      </c>
    </row>
    <row r="53" spans="1:3">
      <c r="A53" s="4" t="s">
        <v>17</v>
      </c>
      <c r="B53" s="6" t="s">
        <v>351</v>
      </c>
      <c r="C53" s="5">
        <f>1473</f>
        <v>1473</v>
      </c>
    </row>
    <row r="54" spans="1:3">
      <c r="A54" s="4" t="s">
        <v>18</v>
      </c>
      <c r="B54" s="6" t="s">
        <v>352</v>
      </c>
      <c r="C54" s="5">
        <f>6300</f>
        <v>6300</v>
      </c>
    </row>
    <row r="55" spans="1:3">
      <c r="A55" s="4" t="s">
        <v>14</v>
      </c>
      <c r="B55" s="6" t="s">
        <v>281</v>
      </c>
      <c r="C55" s="5">
        <f>69700</f>
        <v>69700</v>
      </c>
    </row>
    <row r="56" spans="1:3">
      <c r="A56" s="4" t="s">
        <v>14</v>
      </c>
      <c r="B56" s="6" t="s">
        <v>353</v>
      </c>
      <c r="C56" s="5">
        <f>10452</f>
        <v>10452</v>
      </c>
    </row>
    <row r="57" spans="1:3">
      <c r="A57" s="4" t="s">
        <v>14</v>
      </c>
      <c r="B57" s="6" t="s">
        <v>203</v>
      </c>
      <c r="C57" s="5">
        <f>2000</f>
        <v>2000</v>
      </c>
    </row>
    <row r="58" spans="1:3">
      <c r="A58" s="4" t="s">
        <v>19</v>
      </c>
      <c r="B58" s="6" t="s">
        <v>354</v>
      </c>
      <c r="C58" s="5">
        <f>20000</f>
        <v>20000</v>
      </c>
    </row>
    <row r="59" spans="1:3">
      <c r="A59" s="4" t="s">
        <v>6</v>
      </c>
      <c r="B59" s="6" t="s">
        <v>283</v>
      </c>
      <c r="C59" s="5">
        <f>23300</f>
        <v>23300</v>
      </c>
    </row>
    <row r="60" spans="1:3">
      <c r="A60" s="4" t="s">
        <v>14</v>
      </c>
      <c r="B60" s="6" t="s">
        <v>284</v>
      </c>
      <c r="C60" s="5">
        <f>5600</f>
        <v>5600</v>
      </c>
    </row>
    <row r="61" spans="1:3">
      <c r="A61" s="4" t="s">
        <v>6</v>
      </c>
      <c r="B61" s="6" t="s">
        <v>355</v>
      </c>
      <c r="C61" s="5">
        <f>6500</f>
        <v>6500</v>
      </c>
    </row>
    <row r="62" spans="1:3">
      <c r="A62" s="4" t="s">
        <v>14</v>
      </c>
      <c r="B62" s="6" t="s">
        <v>356</v>
      </c>
      <c r="C62" s="5">
        <f>7426</f>
        <v>7426</v>
      </c>
    </row>
    <row r="63" spans="1:3">
      <c r="A63" s="4" t="s">
        <v>14</v>
      </c>
      <c r="B63" s="6" t="s">
        <v>49</v>
      </c>
      <c r="C63" s="5">
        <f>1500</f>
        <v>1500</v>
      </c>
    </row>
    <row r="64" spans="1:3">
      <c r="A64" s="4" t="s">
        <v>22</v>
      </c>
      <c r="B64" s="6" t="s">
        <v>357</v>
      </c>
      <c r="C64" s="5">
        <f>45000</f>
        <v>45000</v>
      </c>
    </row>
    <row r="65" spans="1:4">
      <c r="A65" s="4" t="s">
        <v>12</v>
      </c>
      <c r="B65" s="6" t="s">
        <v>358</v>
      </c>
      <c r="C65" s="5">
        <f>55000</f>
        <v>55000</v>
      </c>
    </row>
    <row r="66" spans="1:4">
      <c r="A66" s="4" t="s">
        <v>22</v>
      </c>
      <c r="B66" s="6" t="s">
        <v>359</v>
      </c>
      <c r="C66" s="5">
        <f>69000</f>
        <v>69000</v>
      </c>
    </row>
    <row r="67" spans="1:4">
      <c r="A67" s="4" t="s">
        <v>22</v>
      </c>
      <c r="B67" s="6" t="s">
        <v>360</v>
      </c>
      <c r="C67" s="5">
        <f>30610</f>
        <v>30610</v>
      </c>
    </row>
    <row r="68" spans="1:4">
      <c r="A68" s="4" t="s">
        <v>19</v>
      </c>
      <c r="B68" s="6" t="s">
        <v>287</v>
      </c>
      <c r="C68" s="5">
        <f>4000</f>
        <v>4000</v>
      </c>
    </row>
    <row r="69" spans="1:4">
      <c r="A69" s="4" t="s">
        <v>17</v>
      </c>
      <c r="B69" s="6" t="s">
        <v>361</v>
      </c>
      <c r="C69" s="5">
        <f>1150</f>
        <v>1150</v>
      </c>
    </row>
    <row r="70" spans="1:4">
      <c r="A70" s="4" t="s">
        <v>20</v>
      </c>
      <c r="B70" s="6" t="s">
        <v>386</v>
      </c>
      <c r="C70" s="5">
        <f>610</f>
        <v>610</v>
      </c>
    </row>
    <row r="71" spans="1:4">
      <c r="A71" s="4" t="s">
        <v>20</v>
      </c>
      <c r="B71" s="6" t="s">
        <v>288</v>
      </c>
      <c r="C71" s="5">
        <f>5000</f>
        <v>5000</v>
      </c>
    </row>
    <row r="72" spans="1:4">
      <c r="A72" s="4" t="s">
        <v>20</v>
      </c>
      <c r="B72" s="6" t="s">
        <v>362</v>
      </c>
      <c r="C72" s="5">
        <f>5000</f>
        <v>5000</v>
      </c>
    </row>
    <row r="73" spans="1:4">
      <c r="A73" s="48" t="s">
        <v>4</v>
      </c>
      <c r="B73" s="48"/>
      <c r="C73" s="26">
        <f>SUM(C3:C72)</f>
        <v>3107580</v>
      </c>
    </row>
    <row r="76" spans="1:4">
      <c r="A76" s="47" t="s">
        <v>29</v>
      </c>
      <c r="B76" s="47"/>
      <c r="C76" s="47"/>
      <c r="D76" s="27"/>
    </row>
    <row r="77" spans="1:4" ht="45">
      <c r="A77" s="3" t="s">
        <v>1</v>
      </c>
      <c r="B77" s="3" t="s">
        <v>2</v>
      </c>
      <c r="C77" s="3" t="s">
        <v>3</v>
      </c>
      <c r="D77" s="28"/>
    </row>
    <row r="78" spans="1:4">
      <c r="A78" s="4" t="s">
        <v>7</v>
      </c>
      <c r="B78" s="6" t="s">
        <v>249</v>
      </c>
      <c r="C78" s="5">
        <f>43826</f>
        <v>43826</v>
      </c>
    </row>
    <row r="79" spans="1:4">
      <c r="A79" s="4" t="s">
        <v>14</v>
      </c>
      <c r="B79" s="6" t="s">
        <v>250</v>
      </c>
      <c r="C79" s="5">
        <f>10000</f>
        <v>10000</v>
      </c>
    </row>
    <row r="80" spans="1:4">
      <c r="A80" s="4" t="s">
        <v>14</v>
      </c>
      <c r="B80" s="6" t="s">
        <v>251</v>
      </c>
      <c r="C80" s="5">
        <f>45100</f>
        <v>45100</v>
      </c>
    </row>
    <row r="81" spans="1:3">
      <c r="A81" s="4" t="s">
        <v>20</v>
      </c>
      <c r="B81" s="6" t="s">
        <v>252</v>
      </c>
      <c r="C81" s="5">
        <f>11735</f>
        <v>11735</v>
      </c>
    </row>
    <row r="82" spans="1:3">
      <c r="A82" s="4" t="s">
        <v>14</v>
      </c>
      <c r="B82" s="6" t="s">
        <v>253</v>
      </c>
      <c r="C82" s="5">
        <f>23400</f>
        <v>23400</v>
      </c>
    </row>
    <row r="83" spans="1:3">
      <c r="A83" s="4" t="s">
        <v>6</v>
      </c>
      <c r="B83" s="6" t="s">
        <v>254</v>
      </c>
      <c r="C83" s="5">
        <f>500</f>
        <v>500</v>
      </c>
    </row>
    <row r="84" spans="1:3">
      <c r="A84" s="4" t="s">
        <v>6</v>
      </c>
      <c r="B84" s="6" t="s">
        <v>255</v>
      </c>
      <c r="C84" s="5">
        <f>17600</f>
        <v>17600</v>
      </c>
    </row>
    <row r="85" spans="1:3">
      <c r="A85" s="4" t="s">
        <v>22</v>
      </c>
      <c r="B85" s="6" t="s">
        <v>256</v>
      </c>
      <c r="C85" s="10">
        <f>30250</f>
        <v>30250</v>
      </c>
    </row>
    <row r="86" spans="1:3">
      <c r="A86" s="4" t="s">
        <v>6</v>
      </c>
      <c r="B86" s="6" t="s">
        <v>257</v>
      </c>
      <c r="C86" s="10">
        <f>115500</f>
        <v>115500</v>
      </c>
    </row>
    <row r="87" spans="1:3">
      <c r="A87" s="4" t="s">
        <v>14</v>
      </c>
      <c r="B87" s="6" t="s">
        <v>258</v>
      </c>
      <c r="C87" s="10">
        <f>297950</f>
        <v>297950</v>
      </c>
    </row>
    <row r="88" spans="1:3">
      <c r="A88" s="4" t="s">
        <v>14</v>
      </c>
      <c r="B88" s="6" t="s">
        <v>259</v>
      </c>
      <c r="C88" s="10">
        <f>6726</f>
        <v>6726</v>
      </c>
    </row>
    <row r="89" spans="1:3">
      <c r="A89" s="4" t="s">
        <v>14</v>
      </c>
      <c r="B89" s="6" t="s">
        <v>260</v>
      </c>
      <c r="C89" s="10">
        <f>13800</f>
        <v>13800</v>
      </c>
    </row>
    <row r="90" spans="1:3">
      <c r="A90" s="4" t="s">
        <v>14</v>
      </c>
      <c r="B90" s="6" t="s">
        <v>261</v>
      </c>
      <c r="C90" s="10">
        <f>8365</f>
        <v>8365</v>
      </c>
    </row>
    <row r="91" spans="1:3">
      <c r="A91" s="4" t="s">
        <v>14</v>
      </c>
      <c r="B91" s="6" t="s">
        <v>32</v>
      </c>
      <c r="C91" s="10">
        <f>7380</f>
        <v>7380</v>
      </c>
    </row>
    <row r="92" spans="1:3">
      <c r="A92" s="4" t="s">
        <v>6</v>
      </c>
      <c r="B92" s="6" t="s">
        <v>262</v>
      </c>
      <c r="C92" s="10">
        <f>68550</f>
        <v>68550</v>
      </c>
    </row>
    <row r="93" spans="1:3">
      <c r="A93" s="4" t="s">
        <v>6</v>
      </c>
      <c r="B93" s="6" t="s">
        <v>263</v>
      </c>
      <c r="C93" s="10">
        <f>6600</f>
        <v>6600</v>
      </c>
    </row>
    <row r="94" spans="1:3">
      <c r="A94" s="4" t="s">
        <v>14</v>
      </c>
      <c r="B94" s="6" t="s">
        <v>264</v>
      </c>
      <c r="C94" s="10">
        <f>25193</f>
        <v>25193</v>
      </c>
    </row>
    <row r="95" spans="1:3">
      <c r="A95" s="4" t="s">
        <v>6</v>
      </c>
      <c r="B95" s="6" t="s">
        <v>265</v>
      </c>
      <c r="C95" s="10">
        <f>24000</f>
        <v>24000</v>
      </c>
    </row>
    <row r="96" spans="1:3">
      <c r="A96" s="4" t="s">
        <v>14</v>
      </c>
      <c r="B96" s="6" t="s">
        <v>266</v>
      </c>
      <c r="C96" s="10">
        <f>3300</f>
        <v>3300</v>
      </c>
    </row>
    <row r="97" spans="1:3">
      <c r="A97" s="4" t="s">
        <v>14</v>
      </c>
      <c r="B97" s="6" t="s">
        <v>267</v>
      </c>
      <c r="C97" s="10">
        <f>2800</f>
        <v>2800</v>
      </c>
    </row>
    <row r="98" spans="1:3">
      <c r="A98" s="4" t="s">
        <v>20</v>
      </c>
      <c r="B98" s="6" t="s">
        <v>268</v>
      </c>
      <c r="C98" s="5">
        <f>5720</f>
        <v>5720</v>
      </c>
    </row>
    <row r="99" spans="1:3">
      <c r="A99" s="4" t="s">
        <v>22</v>
      </c>
      <c r="B99" s="6" t="s">
        <v>269</v>
      </c>
      <c r="C99" s="5">
        <f>4775</f>
        <v>4775</v>
      </c>
    </row>
    <row r="100" spans="1:3">
      <c r="A100" s="4" t="s">
        <v>22</v>
      </c>
      <c r="B100" s="6" t="s">
        <v>270</v>
      </c>
      <c r="C100" s="5">
        <f>1500</f>
        <v>1500</v>
      </c>
    </row>
    <row r="101" spans="1:3">
      <c r="A101" s="4" t="s">
        <v>22</v>
      </c>
      <c r="B101" s="6" t="s">
        <v>271</v>
      </c>
      <c r="C101" s="5">
        <f>2120</f>
        <v>2120</v>
      </c>
    </row>
    <row r="102" spans="1:3">
      <c r="A102" s="4" t="s">
        <v>6</v>
      </c>
      <c r="B102" s="6" t="s">
        <v>127</v>
      </c>
      <c r="C102" s="5">
        <f>6500</f>
        <v>6500</v>
      </c>
    </row>
    <row r="103" spans="1:3">
      <c r="A103" s="4" t="s">
        <v>15</v>
      </c>
      <c r="B103" s="6" t="s">
        <v>272</v>
      </c>
      <c r="C103" s="5">
        <f>15000</f>
        <v>15000</v>
      </c>
    </row>
    <row r="104" spans="1:3">
      <c r="A104" s="4" t="s">
        <v>22</v>
      </c>
      <c r="B104" s="6" t="s">
        <v>173</v>
      </c>
      <c r="C104" s="5">
        <f>10000</f>
        <v>10000</v>
      </c>
    </row>
    <row r="105" spans="1:3">
      <c r="A105" s="4" t="s">
        <v>22</v>
      </c>
      <c r="B105" s="6" t="s">
        <v>273</v>
      </c>
      <c r="C105" s="5">
        <f>1270</f>
        <v>1270</v>
      </c>
    </row>
    <row r="106" spans="1:3">
      <c r="A106" s="4" t="s">
        <v>7</v>
      </c>
      <c r="B106" s="6" t="s">
        <v>274</v>
      </c>
      <c r="C106" s="5">
        <f>35000</f>
        <v>35000</v>
      </c>
    </row>
    <row r="107" spans="1:3">
      <c r="A107" s="4" t="s">
        <v>5</v>
      </c>
      <c r="B107" s="6" t="s">
        <v>275</v>
      </c>
      <c r="C107" s="5">
        <f>35520</f>
        <v>35520</v>
      </c>
    </row>
    <row r="108" spans="1:3">
      <c r="A108" s="4" t="s">
        <v>17</v>
      </c>
      <c r="B108" s="6" t="s">
        <v>276</v>
      </c>
      <c r="C108" s="5">
        <f>2200</f>
        <v>2200</v>
      </c>
    </row>
    <row r="109" spans="1:3">
      <c r="A109" s="4" t="s">
        <v>6</v>
      </c>
      <c r="B109" s="6" t="s">
        <v>277</v>
      </c>
      <c r="C109" s="5">
        <f>750</f>
        <v>750</v>
      </c>
    </row>
    <row r="110" spans="1:3">
      <c r="A110" s="4" t="s">
        <v>6</v>
      </c>
      <c r="B110" s="6" t="s">
        <v>278</v>
      </c>
      <c r="C110" s="5">
        <f>5900</f>
        <v>5900</v>
      </c>
    </row>
    <row r="111" spans="1:3">
      <c r="A111" s="4" t="s">
        <v>6</v>
      </c>
      <c r="B111" s="6" t="s">
        <v>279</v>
      </c>
      <c r="C111" s="5">
        <f>12000</f>
        <v>12000</v>
      </c>
    </row>
    <row r="112" spans="1:3">
      <c r="A112" s="4" t="s">
        <v>24</v>
      </c>
      <c r="B112" s="6" t="s">
        <v>280</v>
      </c>
      <c r="C112" s="5">
        <f>2000</f>
        <v>2000</v>
      </c>
    </row>
    <row r="113" spans="1:3">
      <c r="A113" s="4" t="s">
        <v>14</v>
      </c>
      <c r="B113" s="6" t="s">
        <v>281</v>
      </c>
      <c r="C113" s="5">
        <f>69700</f>
        <v>69700</v>
      </c>
    </row>
    <row r="114" spans="1:3">
      <c r="A114" s="4" t="s">
        <v>6</v>
      </c>
      <c r="B114" s="6" t="s">
        <v>282</v>
      </c>
      <c r="C114" s="5">
        <f>5710</f>
        <v>5710</v>
      </c>
    </row>
    <row r="115" spans="1:3">
      <c r="A115" s="4" t="s">
        <v>6</v>
      </c>
      <c r="B115" s="6" t="s">
        <v>283</v>
      </c>
      <c r="C115" s="5">
        <f>42500</f>
        <v>42500</v>
      </c>
    </row>
    <row r="116" spans="1:3">
      <c r="A116" s="4" t="s">
        <v>14</v>
      </c>
      <c r="B116" s="6" t="s">
        <v>284</v>
      </c>
      <c r="C116" s="5">
        <f>16250</f>
        <v>16250</v>
      </c>
    </row>
    <row r="117" spans="1:3">
      <c r="A117" s="4" t="s">
        <v>6</v>
      </c>
      <c r="B117" s="6" t="s">
        <v>285</v>
      </c>
      <c r="C117" s="5">
        <f>6000</f>
        <v>6000</v>
      </c>
    </row>
    <row r="118" spans="1:3">
      <c r="A118" s="4" t="s">
        <v>12</v>
      </c>
      <c r="B118" s="6" t="s">
        <v>286</v>
      </c>
      <c r="C118" s="5">
        <f>23605</f>
        <v>23605</v>
      </c>
    </row>
    <row r="119" spans="1:3">
      <c r="A119" s="4" t="s">
        <v>19</v>
      </c>
      <c r="B119" s="6" t="s">
        <v>287</v>
      </c>
      <c r="C119" s="5">
        <f>1000</f>
        <v>1000</v>
      </c>
    </row>
    <row r="120" spans="1:3">
      <c r="A120" s="4" t="s">
        <v>20</v>
      </c>
      <c r="B120" s="6" t="s">
        <v>288</v>
      </c>
      <c r="C120" s="5">
        <f>860</f>
        <v>860</v>
      </c>
    </row>
    <row r="121" spans="1:3">
      <c r="A121" s="49" t="s">
        <v>4</v>
      </c>
      <c r="B121" s="49"/>
      <c r="C121" s="12">
        <f>SUM(C78:C120)</f>
        <v>1068455</v>
      </c>
    </row>
    <row r="124" spans="1:3">
      <c r="A124" s="47" t="s">
        <v>25</v>
      </c>
      <c r="B124" s="47"/>
      <c r="C124" s="47"/>
    </row>
    <row r="125" spans="1:3" ht="45">
      <c r="A125" s="3" t="s">
        <v>1</v>
      </c>
      <c r="B125" s="3" t="s">
        <v>2</v>
      </c>
      <c r="C125" s="3" t="s">
        <v>3</v>
      </c>
    </row>
    <row r="126" spans="1:3">
      <c r="A126" s="4" t="s">
        <v>14</v>
      </c>
      <c r="B126" s="6" t="s">
        <v>395</v>
      </c>
      <c r="C126" s="5">
        <v>9000</v>
      </c>
    </row>
    <row r="127" spans="1:3">
      <c r="A127" s="4" t="s">
        <v>14</v>
      </c>
      <c r="B127" s="6" t="s">
        <v>396</v>
      </c>
      <c r="C127" s="5">
        <v>4800</v>
      </c>
    </row>
    <row r="128" spans="1:3">
      <c r="A128" s="4" t="s">
        <v>14</v>
      </c>
      <c r="B128" s="6" t="s">
        <v>397</v>
      </c>
      <c r="C128" s="5">
        <v>12600</v>
      </c>
    </row>
    <row r="129" spans="1:3">
      <c r="A129" s="4" t="s">
        <v>14</v>
      </c>
      <c r="B129" s="6" t="s">
        <v>398</v>
      </c>
      <c r="C129" s="5">
        <v>2000</v>
      </c>
    </row>
    <row r="130" spans="1:3">
      <c r="A130" s="4" t="s">
        <v>7</v>
      </c>
      <c r="B130" s="6" t="s">
        <v>424</v>
      </c>
      <c r="C130" s="5">
        <v>300</v>
      </c>
    </row>
    <row r="131" spans="1:3">
      <c r="A131" s="4" t="s">
        <v>18</v>
      </c>
      <c r="B131" s="7" t="s">
        <v>399</v>
      </c>
      <c r="C131" s="9">
        <v>30000</v>
      </c>
    </row>
    <row r="132" spans="1:3">
      <c r="A132" s="4" t="s">
        <v>18</v>
      </c>
      <c r="B132" s="7" t="s">
        <v>400</v>
      </c>
      <c r="C132" s="9">
        <v>20303</v>
      </c>
    </row>
    <row r="133" spans="1:3">
      <c r="A133" s="4" t="s">
        <v>6</v>
      </c>
      <c r="B133" s="6" t="s">
        <v>401</v>
      </c>
      <c r="C133" s="10">
        <v>43200</v>
      </c>
    </row>
    <row r="134" spans="1:3">
      <c r="A134" s="4" t="s">
        <v>7</v>
      </c>
      <c r="B134" s="6" t="s">
        <v>249</v>
      </c>
      <c r="C134" s="10">
        <v>74055</v>
      </c>
    </row>
    <row r="135" spans="1:3">
      <c r="A135" s="4" t="s">
        <v>16</v>
      </c>
      <c r="B135" s="6" t="s">
        <v>256</v>
      </c>
      <c r="C135" s="10">
        <v>2000</v>
      </c>
    </row>
    <row r="136" spans="1:3">
      <c r="A136" s="4" t="s">
        <v>6</v>
      </c>
      <c r="B136" s="6" t="s">
        <v>402</v>
      </c>
      <c r="C136" s="10">
        <v>20650</v>
      </c>
    </row>
    <row r="137" spans="1:3">
      <c r="A137" s="4" t="s">
        <v>14</v>
      </c>
      <c r="B137" s="6" t="s">
        <v>282</v>
      </c>
      <c r="C137" s="10">
        <f>26330</f>
        <v>26330</v>
      </c>
    </row>
    <row r="138" spans="1:3">
      <c r="A138" s="4" t="s">
        <v>20</v>
      </c>
      <c r="B138" s="6" t="s">
        <v>403</v>
      </c>
      <c r="C138" s="10">
        <v>1061</v>
      </c>
    </row>
    <row r="139" spans="1:3">
      <c r="A139" s="4" t="s">
        <v>5</v>
      </c>
      <c r="B139" s="6" t="s">
        <v>404</v>
      </c>
      <c r="C139" s="10">
        <v>24075</v>
      </c>
    </row>
    <row r="140" spans="1:3">
      <c r="A140" s="4" t="s">
        <v>14</v>
      </c>
      <c r="B140" s="6" t="s">
        <v>405</v>
      </c>
      <c r="C140" s="10">
        <v>900</v>
      </c>
    </row>
    <row r="141" spans="1:3">
      <c r="A141" s="4" t="s">
        <v>14</v>
      </c>
      <c r="B141" s="6" t="s">
        <v>406</v>
      </c>
      <c r="C141" s="10">
        <v>77600</v>
      </c>
    </row>
    <row r="142" spans="1:3">
      <c r="A142" s="4" t="s">
        <v>15</v>
      </c>
      <c r="B142" s="6" t="s">
        <v>407</v>
      </c>
      <c r="C142" s="10">
        <v>450</v>
      </c>
    </row>
    <row r="143" spans="1:3">
      <c r="A143" s="4" t="s">
        <v>14</v>
      </c>
      <c r="B143" s="6" t="s">
        <v>408</v>
      </c>
      <c r="C143" s="10">
        <v>7000</v>
      </c>
    </row>
    <row r="144" spans="1:3">
      <c r="A144" s="4" t="s">
        <v>14</v>
      </c>
      <c r="B144" s="6" t="s">
        <v>409</v>
      </c>
      <c r="C144" s="10">
        <v>6930</v>
      </c>
    </row>
    <row r="145" spans="1:3">
      <c r="A145" s="4" t="s">
        <v>21</v>
      </c>
      <c r="B145" s="6" t="s">
        <v>410</v>
      </c>
      <c r="C145" s="10">
        <v>214</v>
      </c>
    </row>
    <row r="146" spans="1:3">
      <c r="A146" s="4" t="s">
        <v>14</v>
      </c>
      <c r="B146" s="6" t="s">
        <v>411</v>
      </c>
      <c r="C146" s="5">
        <v>46700</v>
      </c>
    </row>
    <row r="147" spans="1:3">
      <c r="A147" s="4" t="s">
        <v>14</v>
      </c>
      <c r="B147" s="6" t="s">
        <v>258</v>
      </c>
      <c r="C147" s="5">
        <v>9950</v>
      </c>
    </row>
    <row r="148" spans="1:3">
      <c r="A148" s="4" t="s">
        <v>14</v>
      </c>
      <c r="B148" s="6" t="s">
        <v>412</v>
      </c>
      <c r="C148" s="5">
        <v>4230</v>
      </c>
    </row>
    <row r="149" spans="1:3">
      <c r="A149" s="4" t="s">
        <v>14</v>
      </c>
      <c r="B149" s="6" t="s">
        <v>413</v>
      </c>
      <c r="C149" s="5">
        <v>4318</v>
      </c>
    </row>
    <row r="150" spans="1:3">
      <c r="A150" s="4" t="s">
        <v>21</v>
      </c>
      <c r="B150" s="6" t="s">
        <v>414</v>
      </c>
      <c r="C150" s="5">
        <v>7201</v>
      </c>
    </row>
    <row r="151" spans="1:3">
      <c r="A151" s="4" t="s">
        <v>22</v>
      </c>
      <c r="B151" s="6" t="s">
        <v>123</v>
      </c>
      <c r="C151" s="5">
        <v>200500</v>
      </c>
    </row>
    <row r="152" spans="1:3">
      <c r="A152" s="4" t="s">
        <v>5</v>
      </c>
      <c r="B152" s="6" t="s">
        <v>209</v>
      </c>
      <c r="C152" s="5">
        <v>20828</v>
      </c>
    </row>
    <row r="153" spans="1:3">
      <c r="A153" s="4" t="s">
        <v>5</v>
      </c>
      <c r="B153" s="6" t="s">
        <v>211</v>
      </c>
      <c r="C153" s="5">
        <v>5000</v>
      </c>
    </row>
    <row r="154" spans="1:3">
      <c r="A154" s="4" t="s">
        <v>17</v>
      </c>
      <c r="B154" s="6" t="s">
        <v>415</v>
      </c>
      <c r="C154" s="5">
        <v>2000</v>
      </c>
    </row>
    <row r="155" spans="1:3">
      <c r="A155" s="4" t="s">
        <v>17</v>
      </c>
      <c r="B155" s="6" t="s">
        <v>416</v>
      </c>
      <c r="C155" s="5">
        <v>500</v>
      </c>
    </row>
    <row r="156" spans="1:3">
      <c r="A156" s="4" t="s">
        <v>5</v>
      </c>
      <c r="B156" s="6" t="s">
        <v>417</v>
      </c>
      <c r="C156" s="5">
        <v>750</v>
      </c>
    </row>
    <row r="157" spans="1:3">
      <c r="A157" s="4" t="s">
        <v>18</v>
      </c>
      <c r="B157" s="8" t="s">
        <v>418</v>
      </c>
      <c r="C157" s="11">
        <v>3000</v>
      </c>
    </row>
    <row r="158" spans="1:3">
      <c r="A158" s="4" t="s">
        <v>20</v>
      </c>
      <c r="B158" s="6" t="s">
        <v>419</v>
      </c>
      <c r="C158" s="5">
        <v>3090</v>
      </c>
    </row>
    <row r="159" spans="1:3">
      <c r="A159" s="4" t="s">
        <v>19</v>
      </c>
      <c r="B159" s="6" t="s">
        <v>420</v>
      </c>
      <c r="C159" s="5">
        <v>1700</v>
      </c>
    </row>
    <row r="160" spans="1:3">
      <c r="A160" s="4" t="s">
        <v>14</v>
      </c>
      <c r="B160" s="6" t="s">
        <v>421</v>
      </c>
      <c r="C160" s="5">
        <v>1143080</v>
      </c>
    </row>
    <row r="161" spans="1:3">
      <c r="A161" s="4" t="s">
        <v>14</v>
      </c>
      <c r="B161" s="6" t="s">
        <v>422</v>
      </c>
      <c r="C161" s="5">
        <v>20294</v>
      </c>
    </row>
    <row r="162" spans="1:3">
      <c r="A162" s="4" t="s">
        <v>14</v>
      </c>
      <c r="B162" s="6" t="s">
        <v>48</v>
      </c>
      <c r="C162" s="5">
        <v>22523</v>
      </c>
    </row>
    <row r="163" spans="1:3">
      <c r="A163" s="49" t="s">
        <v>4</v>
      </c>
      <c r="B163" s="49"/>
      <c r="C163" s="12">
        <f>SUM(C126:C162)</f>
        <v>1859132</v>
      </c>
    </row>
    <row r="166" spans="1:3">
      <c r="A166" s="47" t="s">
        <v>26</v>
      </c>
      <c r="B166" s="47"/>
      <c r="C166" s="47"/>
    </row>
    <row r="167" spans="1:3" ht="45">
      <c r="A167" s="3" t="s">
        <v>1</v>
      </c>
      <c r="B167" s="3" t="s">
        <v>2</v>
      </c>
      <c r="C167" s="3" t="s">
        <v>3</v>
      </c>
    </row>
    <row r="168" spans="1:3">
      <c r="A168" s="4" t="s">
        <v>14</v>
      </c>
      <c r="B168" s="6" t="s">
        <v>161</v>
      </c>
      <c r="C168" s="5">
        <f>11000</f>
        <v>11000</v>
      </c>
    </row>
    <row r="169" spans="1:3">
      <c r="A169" s="4" t="s">
        <v>14</v>
      </c>
      <c r="B169" s="6" t="s">
        <v>44</v>
      </c>
      <c r="C169" s="5">
        <f>80000</f>
        <v>80000</v>
      </c>
    </row>
    <row r="170" spans="1:3">
      <c r="A170" s="4" t="s">
        <v>14</v>
      </c>
      <c r="B170" s="6" t="s">
        <v>162</v>
      </c>
      <c r="C170" s="5">
        <v>10945</v>
      </c>
    </row>
    <row r="171" spans="1:3">
      <c r="A171" s="4" t="s">
        <v>19</v>
      </c>
      <c r="B171" s="6" t="s">
        <v>163</v>
      </c>
      <c r="C171" s="5">
        <v>732300</v>
      </c>
    </row>
    <row r="172" spans="1:3" ht="29.25">
      <c r="A172" s="4" t="s">
        <v>14</v>
      </c>
      <c r="B172" s="24" t="s">
        <v>164</v>
      </c>
      <c r="C172" s="5">
        <v>109660</v>
      </c>
    </row>
    <row r="173" spans="1:3">
      <c r="A173" s="4" t="s">
        <v>17</v>
      </c>
      <c r="B173" s="6" t="s">
        <v>165</v>
      </c>
      <c r="C173" s="5">
        <v>558774</v>
      </c>
    </row>
    <row r="174" spans="1:3">
      <c r="A174" s="4" t="s">
        <v>20</v>
      </c>
      <c r="B174" s="6" t="s">
        <v>166</v>
      </c>
      <c r="C174" s="5">
        <v>10000</v>
      </c>
    </row>
    <row r="175" spans="1:3">
      <c r="A175" s="4" t="s">
        <v>14</v>
      </c>
      <c r="B175" s="6" t="s">
        <v>167</v>
      </c>
      <c r="C175" s="5">
        <v>2000</v>
      </c>
    </row>
    <row r="176" spans="1:3">
      <c r="A176" s="4" t="s">
        <v>17</v>
      </c>
      <c r="B176" s="6" t="s">
        <v>168</v>
      </c>
      <c r="C176" s="5">
        <v>855040</v>
      </c>
    </row>
    <row r="177" spans="1:3">
      <c r="A177" s="4" t="s">
        <v>15</v>
      </c>
      <c r="B177" s="6" t="s">
        <v>169</v>
      </c>
      <c r="C177" s="5">
        <v>50930</v>
      </c>
    </row>
    <row r="178" spans="1:3">
      <c r="A178" s="4" t="s">
        <v>6</v>
      </c>
      <c r="B178" s="6" t="s">
        <v>170</v>
      </c>
      <c r="C178" s="5">
        <v>13000</v>
      </c>
    </row>
    <row r="179" spans="1:3">
      <c r="A179" s="4" t="s">
        <v>20</v>
      </c>
      <c r="B179" s="6" t="s">
        <v>171</v>
      </c>
      <c r="C179" s="5">
        <v>4800</v>
      </c>
    </row>
    <row r="180" spans="1:3">
      <c r="A180" s="4" t="s">
        <v>20</v>
      </c>
      <c r="B180" s="6" t="s">
        <v>172</v>
      </c>
      <c r="C180" s="5">
        <v>7000</v>
      </c>
    </row>
    <row r="181" spans="1:3">
      <c r="A181" s="4" t="s">
        <v>22</v>
      </c>
      <c r="B181" s="6" t="s">
        <v>173</v>
      </c>
      <c r="C181" s="5">
        <v>25000</v>
      </c>
    </row>
    <row r="182" spans="1:3">
      <c r="A182" s="4" t="s">
        <v>22</v>
      </c>
      <c r="B182" s="6" t="s">
        <v>174</v>
      </c>
      <c r="C182" s="5">
        <v>25000</v>
      </c>
    </row>
    <row r="183" spans="1:3">
      <c r="A183" s="4" t="s">
        <v>14</v>
      </c>
      <c r="B183" s="6" t="s">
        <v>175</v>
      </c>
      <c r="C183" s="5">
        <v>6077</v>
      </c>
    </row>
    <row r="184" spans="1:3">
      <c r="A184" s="4" t="s">
        <v>20</v>
      </c>
      <c r="B184" s="6" t="s">
        <v>176</v>
      </c>
      <c r="C184" s="5">
        <v>50500</v>
      </c>
    </row>
    <row r="185" spans="1:3">
      <c r="A185" s="4" t="s">
        <v>17</v>
      </c>
      <c r="B185" s="7" t="s">
        <v>177</v>
      </c>
      <c r="C185" s="9">
        <v>10470</v>
      </c>
    </row>
    <row r="186" spans="1:3">
      <c r="A186" s="4" t="s">
        <v>18</v>
      </c>
      <c r="B186" s="7" t="s">
        <v>178</v>
      </c>
      <c r="C186" s="9">
        <v>31360</v>
      </c>
    </row>
    <row r="187" spans="1:3">
      <c r="A187" s="4" t="s">
        <v>17</v>
      </c>
      <c r="B187" s="7" t="s">
        <v>179</v>
      </c>
      <c r="C187" s="9">
        <v>500</v>
      </c>
    </row>
    <row r="188" spans="1:3">
      <c r="A188" s="4" t="s">
        <v>18</v>
      </c>
      <c r="B188" s="7" t="s">
        <v>180</v>
      </c>
      <c r="C188" s="9">
        <v>28105</v>
      </c>
    </row>
    <row r="189" spans="1:3">
      <c r="A189" s="4" t="s">
        <v>14</v>
      </c>
      <c r="B189" s="7" t="s">
        <v>181</v>
      </c>
      <c r="C189" s="9">
        <v>1600</v>
      </c>
    </row>
    <row r="190" spans="1:3">
      <c r="A190" s="4" t="s">
        <v>6</v>
      </c>
      <c r="B190" s="6" t="s">
        <v>182</v>
      </c>
      <c r="C190" s="10">
        <v>10454</v>
      </c>
    </row>
    <row r="191" spans="1:3">
      <c r="A191" s="4" t="s">
        <v>6</v>
      </c>
      <c r="B191" s="6" t="s">
        <v>183</v>
      </c>
      <c r="C191" s="10">
        <v>14000</v>
      </c>
    </row>
    <row r="192" spans="1:3">
      <c r="A192" s="4" t="s">
        <v>14</v>
      </c>
      <c r="B192" s="6" t="s">
        <v>184</v>
      </c>
      <c r="C192" s="10">
        <v>33630</v>
      </c>
    </row>
    <row r="193" spans="1:3">
      <c r="A193" s="4" t="s">
        <v>14</v>
      </c>
      <c r="B193" s="6" t="s">
        <v>185</v>
      </c>
      <c r="C193" s="10">
        <v>23476</v>
      </c>
    </row>
    <row r="194" spans="1:3">
      <c r="A194" s="4" t="s">
        <v>6</v>
      </c>
      <c r="B194" s="6" t="s">
        <v>186</v>
      </c>
      <c r="C194" s="10">
        <v>17700</v>
      </c>
    </row>
    <row r="195" spans="1:3">
      <c r="A195" s="4" t="s">
        <v>19</v>
      </c>
      <c r="B195" s="6" t="s">
        <v>187</v>
      </c>
      <c r="C195" s="10">
        <v>12000</v>
      </c>
    </row>
    <row r="196" spans="1:3">
      <c r="A196" s="4" t="s">
        <v>17</v>
      </c>
      <c r="B196" s="6" t="s">
        <v>188</v>
      </c>
      <c r="C196" s="10">
        <v>1100</v>
      </c>
    </row>
    <row r="197" spans="1:3">
      <c r="A197" s="4" t="s">
        <v>22</v>
      </c>
      <c r="B197" s="6" t="s">
        <v>189</v>
      </c>
      <c r="C197" s="10">
        <v>1000</v>
      </c>
    </row>
    <row r="198" spans="1:3">
      <c r="A198" s="4" t="s">
        <v>7</v>
      </c>
      <c r="B198" s="6" t="s">
        <v>391</v>
      </c>
      <c r="C198" s="10">
        <v>31010</v>
      </c>
    </row>
    <row r="199" spans="1:3">
      <c r="A199" s="4" t="s">
        <v>6</v>
      </c>
      <c r="B199" s="6" t="s">
        <v>190</v>
      </c>
      <c r="C199" s="10">
        <v>559776</v>
      </c>
    </row>
    <row r="200" spans="1:3">
      <c r="A200" s="4" t="s">
        <v>6</v>
      </c>
      <c r="B200" s="6" t="s">
        <v>191</v>
      </c>
      <c r="C200" s="10">
        <f>32000</f>
        <v>32000</v>
      </c>
    </row>
    <row r="201" spans="1:3">
      <c r="A201" s="4" t="s">
        <v>14</v>
      </c>
      <c r="B201" s="6" t="s">
        <v>192</v>
      </c>
      <c r="C201" s="10">
        <v>66900</v>
      </c>
    </row>
    <row r="202" spans="1:3">
      <c r="A202" s="4" t="s">
        <v>20</v>
      </c>
      <c r="B202" s="6" t="s">
        <v>193</v>
      </c>
      <c r="C202" s="10">
        <v>6550</v>
      </c>
    </row>
    <row r="203" spans="1:3">
      <c r="A203" s="4" t="s">
        <v>14</v>
      </c>
      <c r="B203" s="6" t="s">
        <v>116</v>
      </c>
      <c r="C203" s="10">
        <v>67550</v>
      </c>
    </row>
    <row r="204" spans="1:3">
      <c r="A204" s="4" t="s">
        <v>19</v>
      </c>
      <c r="B204" s="6" t="s">
        <v>390</v>
      </c>
      <c r="C204" s="10">
        <v>52226</v>
      </c>
    </row>
    <row r="205" spans="1:3">
      <c r="A205" s="4" t="s">
        <v>17</v>
      </c>
      <c r="B205" s="6" t="s">
        <v>194</v>
      </c>
      <c r="C205" s="10">
        <v>78000</v>
      </c>
    </row>
    <row r="206" spans="1:3">
      <c r="A206" s="4" t="s">
        <v>17</v>
      </c>
      <c r="B206" s="6" t="s">
        <v>195</v>
      </c>
      <c r="C206" s="10">
        <v>100000</v>
      </c>
    </row>
    <row r="207" spans="1:3">
      <c r="A207" s="4" t="s">
        <v>19</v>
      </c>
      <c r="B207" s="6" t="s">
        <v>196</v>
      </c>
      <c r="C207" s="10">
        <v>83000</v>
      </c>
    </row>
    <row r="208" spans="1:3">
      <c r="A208" s="4" t="s">
        <v>14</v>
      </c>
      <c r="B208" s="6" t="s">
        <v>197</v>
      </c>
      <c r="C208" s="5">
        <v>78900</v>
      </c>
    </row>
    <row r="209" spans="1:3">
      <c r="A209" s="4" t="s">
        <v>6</v>
      </c>
      <c r="B209" s="6" t="s">
        <v>198</v>
      </c>
      <c r="C209" s="5">
        <v>64500</v>
      </c>
    </row>
    <row r="210" spans="1:3">
      <c r="A210" s="4" t="s">
        <v>19</v>
      </c>
      <c r="B210" s="6" t="s">
        <v>199</v>
      </c>
      <c r="C210" s="5">
        <v>70000</v>
      </c>
    </row>
    <row r="211" spans="1:3">
      <c r="A211" s="4" t="s">
        <v>6</v>
      </c>
      <c r="B211" s="6" t="s">
        <v>200</v>
      </c>
      <c r="C211" s="5">
        <v>84000</v>
      </c>
    </row>
    <row r="212" spans="1:3">
      <c r="A212" s="4" t="s">
        <v>14</v>
      </c>
      <c r="B212" s="6" t="s">
        <v>201</v>
      </c>
      <c r="C212" s="5">
        <v>6863</v>
      </c>
    </row>
    <row r="213" spans="1:3">
      <c r="A213" s="4" t="s">
        <v>6</v>
      </c>
      <c r="B213" s="6" t="s">
        <v>202</v>
      </c>
      <c r="C213" s="5">
        <v>27000</v>
      </c>
    </row>
    <row r="214" spans="1:3">
      <c r="A214" s="4" t="s">
        <v>14</v>
      </c>
      <c r="B214" s="6" t="s">
        <v>203</v>
      </c>
      <c r="C214" s="5">
        <v>2160</v>
      </c>
    </row>
    <row r="215" spans="1:3">
      <c r="A215" s="4" t="s">
        <v>14</v>
      </c>
      <c r="B215" s="6" t="s">
        <v>49</v>
      </c>
      <c r="C215" s="5">
        <f>13897</f>
        <v>13897</v>
      </c>
    </row>
    <row r="216" spans="1:3">
      <c r="A216" s="4" t="s">
        <v>14</v>
      </c>
      <c r="B216" s="6" t="s">
        <v>204</v>
      </c>
      <c r="C216" s="5">
        <v>10000</v>
      </c>
    </row>
    <row r="217" spans="1:3">
      <c r="A217" s="4" t="s">
        <v>22</v>
      </c>
      <c r="B217" s="6" t="s">
        <v>205</v>
      </c>
      <c r="C217" s="5">
        <v>1500</v>
      </c>
    </row>
    <row r="218" spans="1:3">
      <c r="A218" s="4" t="s">
        <v>5</v>
      </c>
      <c r="B218" s="6" t="s">
        <v>206</v>
      </c>
      <c r="C218" s="5">
        <v>5218</v>
      </c>
    </row>
    <row r="219" spans="1:3">
      <c r="A219" s="4" t="s">
        <v>24</v>
      </c>
      <c r="B219" s="6" t="s">
        <v>207</v>
      </c>
      <c r="C219" s="5">
        <v>112869</v>
      </c>
    </row>
    <row r="220" spans="1:3">
      <c r="A220" s="4" t="s">
        <v>6</v>
      </c>
      <c r="B220" s="6" t="s">
        <v>389</v>
      </c>
      <c r="C220" s="5">
        <v>24000</v>
      </c>
    </row>
    <row r="221" spans="1:3">
      <c r="A221" s="4" t="s">
        <v>5</v>
      </c>
      <c r="B221" s="6" t="s">
        <v>208</v>
      </c>
      <c r="C221" s="5">
        <v>5900</v>
      </c>
    </row>
    <row r="222" spans="1:3">
      <c r="A222" s="4" t="s">
        <v>5</v>
      </c>
      <c r="B222" s="6" t="s">
        <v>209</v>
      </c>
      <c r="C222" s="5">
        <v>51044</v>
      </c>
    </row>
    <row r="223" spans="1:3">
      <c r="A223" s="4" t="s">
        <v>5</v>
      </c>
      <c r="B223" s="6" t="s">
        <v>210</v>
      </c>
      <c r="C223" s="5">
        <v>13450</v>
      </c>
    </row>
    <row r="224" spans="1:3">
      <c r="A224" s="4" t="s">
        <v>5</v>
      </c>
      <c r="B224" s="6" t="s">
        <v>211</v>
      </c>
      <c r="C224" s="5">
        <v>3538</v>
      </c>
    </row>
    <row r="225" spans="1:3">
      <c r="A225" s="4" t="s">
        <v>5</v>
      </c>
      <c r="B225" s="6" t="s">
        <v>212</v>
      </c>
      <c r="C225" s="5">
        <v>3065</v>
      </c>
    </row>
    <row r="226" spans="1:3">
      <c r="A226" s="4" t="s">
        <v>5</v>
      </c>
      <c r="B226" s="6" t="s">
        <v>213</v>
      </c>
      <c r="C226" s="5">
        <v>2400</v>
      </c>
    </row>
    <row r="227" spans="1:3">
      <c r="A227" s="4" t="s">
        <v>17</v>
      </c>
      <c r="B227" s="6" t="s">
        <v>214</v>
      </c>
      <c r="C227" s="5">
        <v>2500</v>
      </c>
    </row>
    <row r="228" spans="1:3">
      <c r="A228" s="4" t="s">
        <v>17</v>
      </c>
      <c r="B228" s="6" t="s">
        <v>388</v>
      </c>
      <c r="C228" s="5">
        <v>1738</v>
      </c>
    </row>
    <row r="229" spans="1:3">
      <c r="A229" s="4" t="s">
        <v>22</v>
      </c>
      <c r="B229" s="6" t="s">
        <v>215</v>
      </c>
      <c r="C229" s="5">
        <v>1530</v>
      </c>
    </row>
    <row r="230" spans="1:3">
      <c r="A230" s="4" t="s">
        <v>19</v>
      </c>
      <c r="B230" s="8" t="s">
        <v>92</v>
      </c>
      <c r="C230" s="11">
        <v>2000</v>
      </c>
    </row>
    <row r="231" spans="1:3">
      <c r="A231" s="4" t="s">
        <v>20</v>
      </c>
      <c r="B231" s="6" t="s">
        <v>216</v>
      </c>
      <c r="C231" s="5">
        <v>13800</v>
      </c>
    </row>
    <row r="232" spans="1:3">
      <c r="A232" s="4" t="s">
        <v>17</v>
      </c>
      <c r="B232" s="6" t="s">
        <v>217</v>
      </c>
      <c r="C232" s="5">
        <v>7030</v>
      </c>
    </row>
    <row r="233" spans="1:3">
      <c r="A233" s="4" t="s">
        <v>17</v>
      </c>
      <c r="B233" s="6" t="s">
        <v>218</v>
      </c>
      <c r="C233" s="5">
        <v>6000</v>
      </c>
    </row>
    <row r="234" spans="1:3">
      <c r="A234" s="4" t="s">
        <v>17</v>
      </c>
      <c r="B234" s="6" t="s">
        <v>219</v>
      </c>
      <c r="C234" s="5">
        <v>2800</v>
      </c>
    </row>
    <row r="235" spans="1:3">
      <c r="A235" s="4" t="s">
        <v>17</v>
      </c>
      <c r="B235" s="6" t="s">
        <v>220</v>
      </c>
      <c r="C235" s="5">
        <v>16140</v>
      </c>
    </row>
    <row r="236" spans="1:3">
      <c r="A236" s="4" t="s">
        <v>7</v>
      </c>
      <c r="B236" s="6" t="s">
        <v>221</v>
      </c>
      <c r="C236" s="5">
        <v>3450</v>
      </c>
    </row>
    <row r="237" spans="1:3">
      <c r="A237" s="4" t="s">
        <v>20</v>
      </c>
      <c r="B237" s="6" t="s">
        <v>222</v>
      </c>
      <c r="C237" s="5">
        <v>2695</v>
      </c>
    </row>
    <row r="238" spans="1:3">
      <c r="A238" s="4" t="s">
        <v>17</v>
      </c>
      <c r="B238" s="6" t="s">
        <v>223</v>
      </c>
      <c r="C238" s="5">
        <v>500</v>
      </c>
    </row>
    <row r="239" spans="1:3">
      <c r="A239" s="4" t="s">
        <v>17</v>
      </c>
      <c r="B239" s="6" t="s">
        <v>224</v>
      </c>
      <c r="C239" s="5">
        <v>300</v>
      </c>
    </row>
    <row r="240" spans="1:3">
      <c r="A240" s="4" t="s">
        <v>17</v>
      </c>
      <c r="B240" s="6" t="s">
        <v>225</v>
      </c>
      <c r="C240" s="5">
        <v>2280</v>
      </c>
    </row>
    <row r="241" spans="1:3">
      <c r="A241" s="4" t="s">
        <v>20</v>
      </c>
      <c r="B241" s="6" t="s">
        <v>226</v>
      </c>
      <c r="C241" s="5">
        <v>4360</v>
      </c>
    </row>
    <row r="242" spans="1:3">
      <c r="A242" s="4" t="s">
        <v>6</v>
      </c>
      <c r="B242" s="6" t="s">
        <v>227</v>
      </c>
      <c r="C242" s="5">
        <v>27596</v>
      </c>
    </row>
    <row r="243" spans="1:3">
      <c r="A243" s="4" t="s">
        <v>17</v>
      </c>
      <c r="B243" s="6" t="s">
        <v>387</v>
      </c>
      <c r="C243" s="5">
        <v>8300</v>
      </c>
    </row>
    <row r="244" spans="1:3">
      <c r="A244" s="4" t="s">
        <v>17</v>
      </c>
      <c r="B244" s="6" t="s">
        <v>137</v>
      </c>
      <c r="C244" s="5">
        <v>4300</v>
      </c>
    </row>
    <row r="245" spans="1:3">
      <c r="A245" s="4" t="s">
        <v>6</v>
      </c>
      <c r="B245" s="6" t="s">
        <v>228</v>
      </c>
      <c r="C245" s="5">
        <v>840</v>
      </c>
    </row>
    <row r="246" spans="1:3">
      <c r="A246" s="4" t="s">
        <v>6</v>
      </c>
      <c r="B246" s="6" t="s">
        <v>229</v>
      </c>
      <c r="C246" s="5">
        <v>44049</v>
      </c>
    </row>
    <row r="247" spans="1:3">
      <c r="A247" s="4" t="s">
        <v>17</v>
      </c>
      <c r="B247" s="6" t="s">
        <v>230</v>
      </c>
      <c r="C247" s="5">
        <v>2500</v>
      </c>
    </row>
    <row r="248" spans="1:3">
      <c r="A248" s="4" t="s">
        <v>17</v>
      </c>
      <c r="B248" s="6" t="s">
        <v>231</v>
      </c>
      <c r="C248" s="5">
        <v>1800</v>
      </c>
    </row>
    <row r="249" spans="1:3">
      <c r="A249" s="4" t="s">
        <v>14</v>
      </c>
      <c r="B249" s="6" t="s">
        <v>119</v>
      </c>
      <c r="C249" s="5">
        <v>1262375</v>
      </c>
    </row>
    <row r="250" spans="1:3">
      <c r="A250" s="4" t="s">
        <v>6</v>
      </c>
      <c r="B250" s="6" t="s">
        <v>48</v>
      </c>
      <c r="C250" s="5">
        <v>13662</v>
      </c>
    </row>
    <row r="251" spans="1:3">
      <c r="A251" s="4" t="s">
        <v>14</v>
      </c>
      <c r="B251" s="6" t="s">
        <v>232</v>
      </c>
      <c r="C251" s="5">
        <v>13900</v>
      </c>
    </row>
    <row r="252" spans="1:3">
      <c r="A252" s="4" t="s">
        <v>9</v>
      </c>
      <c r="B252" s="6" t="s">
        <v>233</v>
      </c>
      <c r="C252" s="5">
        <v>26645</v>
      </c>
    </row>
    <row r="253" spans="1:3">
      <c r="A253" s="49" t="s">
        <v>4</v>
      </c>
      <c r="B253" s="49"/>
      <c r="C253" s="12">
        <f>SUM(C168:C252)</f>
        <v>5867827</v>
      </c>
    </row>
    <row r="256" spans="1:3">
      <c r="A256" s="43" t="s">
        <v>27</v>
      </c>
      <c r="B256" s="43"/>
      <c r="C256" s="43"/>
    </row>
    <row r="257" spans="1:3" ht="45">
      <c r="A257" s="3" t="s">
        <v>1</v>
      </c>
      <c r="B257" s="3" t="s">
        <v>2</v>
      </c>
      <c r="C257" s="3" t="s">
        <v>3</v>
      </c>
    </row>
    <row r="258" spans="1:3">
      <c r="A258" s="14" t="s">
        <v>14</v>
      </c>
      <c r="B258" s="15" t="s">
        <v>89</v>
      </c>
      <c r="C258" s="16">
        <v>9200</v>
      </c>
    </row>
    <row r="259" spans="1:3">
      <c r="A259" s="14" t="s">
        <v>14</v>
      </c>
      <c r="B259" s="15" t="s">
        <v>90</v>
      </c>
      <c r="C259" s="16">
        <v>5640</v>
      </c>
    </row>
    <row r="260" spans="1:3">
      <c r="A260" s="14" t="s">
        <v>14</v>
      </c>
      <c r="B260" s="15" t="s">
        <v>91</v>
      </c>
      <c r="C260" s="16">
        <v>4000</v>
      </c>
    </row>
    <row r="261" spans="1:3">
      <c r="A261" s="14" t="s">
        <v>19</v>
      </c>
      <c r="B261" s="15" t="s">
        <v>92</v>
      </c>
      <c r="C261" s="16">
        <v>15950</v>
      </c>
    </row>
    <row r="262" spans="1:3">
      <c r="A262" s="14" t="s">
        <v>24</v>
      </c>
      <c r="B262" s="15" t="s">
        <v>93</v>
      </c>
      <c r="C262" s="16">
        <v>5580</v>
      </c>
    </row>
    <row r="263" spans="1:3">
      <c r="A263" s="14" t="s">
        <v>5</v>
      </c>
      <c r="B263" s="15" t="s">
        <v>94</v>
      </c>
      <c r="C263" s="16">
        <f>113127</f>
        <v>113127</v>
      </c>
    </row>
    <row r="264" spans="1:3">
      <c r="A264" s="14" t="s">
        <v>20</v>
      </c>
      <c r="B264" s="15" t="s">
        <v>95</v>
      </c>
      <c r="C264" s="16">
        <v>37000</v>
      </c>
    </row>
    <row r="265" spans="1:3">
      <c r="A265" s="14" t="s">
        <v>19</v>
      </c>
      <c r="B265" s="15" t="s">
        <v>96</v>
      </c>
      <c r="C265" s="16">
        <v>6000</v>
      </c>
    </row>
    <row r="266" spans="1:3">
      <c r="A266" s="14" t="s">
        <v>20</v>
      </c>
      <c r="B266" s="15" t="s">
        <v>97</v>
      </c>
      <c r="C266" s="16">
        <v>2819</v>
      </c>
    </row>
    <row r="267" spans="1:3">
      <c r="A267" s="14" t="s">
        <v>17</v>
      </c>
      <c r="B267" s="15" t="s">
        <v>98</v>
      </c>
      <c r="C267" s="16">
        <v>10000</v>
      </c>
    </row>
    <row r="268" spans="1:3">
      <c r="A268" s="14" t="s">
        <v>14</v>
      </c>
      <c r="B268" s="15" t="s">
        <v>99</v>
      </c>
      <c r="C268" s="16">
        <v>19235</v>
      </c>
    </row>
    <row r="269" spans="1:3">
      <c r="A269" s="14" t="s">
        <v>19</v>
      </c>
      <c r="B269" s="15" t="s">
        <v>100</v>
      </c>
      <c r="C269" s="16">
        <v>2000</v>
      </c>
    </row>
    <row r="270" spans="1:3">
      <c r="A270" s="14" t="s">
        <v>18</v>
      </c>
      <c r="B270" s="17" t="s">
        <v>101</v>
      </c>
      <c r="C270" s="18">
        <v>31815</v>
      </c>
    </row>
    <row r="271" spans="1:3">
      <c r="A271" s="14" t="s">
        <v>19</v>
      </c>
      <c r="B271" s="17" t="s">
        <v>102</v>
      </c>
      <c r="C271" s="18">
        <v>1500</v>
      </c>
    </row>
    <row r="272" spans="1:3">
      <c r="A272" s="14" t="s">
        <v>18</v>
      </c>
      <c r="B272" s="15" t="s">
        <v>103</v>
      </c>
      <c r="C272" s="18">
        <v>4500</v>
      </c>
    </row>
    <row r="273" spans="1:3">
      <c r="A273" s="14" t="s">
        <v>18</v>
      </c>
      <c r="B273" s="15" t="s">
        <v>104</v>
      </c>
      <c r="C273" s="18">
        <v>17040</v>
      </c>
    </row>
    <row r="274" spans="1:3">
      <c r="A274" s="14" t="s">
        <v>6</v>
      </c>
      <c r="B274" s="15" t="s">
        <v>105</v>
      </c>
      <c r="C274" s="19">
        <v>1250</v>
      </c>
    </row>
    <row r="275" spans="1:3">
      <c r="A275" s="14" t="s">
        <v>22</v>
      </c>
      <c r="B275" s="15" t="s">
        <v>106</v>
      </c>
      <c r="C275" s="19">
        <v>8000</v>
      </c>
    </row>
    <row r="276" spans="1:3">
      <c r="A276" s="14" t="s">
        <v>6</v>
      </c>
      <c r="B276" s="15" t="s">
        <v>107</v>
      </c>
      <c r="C276" s="19">
        <v>28792</v>
      </c>
    </row>
    <row r="277" spans="1:3">
      <c r="A277" s="14" t="s">
        <v>14</v>
      </c>
      <c r="B277" s="15" t="s">
        <v>108</v>
      </c>
      <c r="C277" s="19">
        <v>117550</v>
      </c>
    </row>
    <row r="278" spans="1:3">
      <c r="A278" s="14" t="s">
        <v>6</v>
      </c>
      <c r="B278" s="15" t="s">
        <v>65</v>
      </c>
      <c r="C278" s="19">
        <v>265361</v>
      </c>
    </row>
    <row r="279" spans="1:3">
      <c r="A279" s="14" t="s">
        <v>20</v>
      </c>
      <c r="B279" s="15" t="s">
        <v>109</v>
      </c>
      <c r="C279" s="19">
        <v>500</v>
      </c>
    </row>
    <row r="280" spans="1:3">
      <c r="A280" s="14" t="s">
        <v>20</v>
      </c>
      <c r="B280" s="15" t="s">
        <v>110</v>
      </c>
      <c r="C280" s="19">
        <v>30403</v>
      </c>
    </row>
    <row r="281" spans="1:3">
      <c r="A281" s="14" t="s">
        <v>11</v>
      </c>
      <c r="B281" s="15" t="s">
        <v>111</v>
      </c>
      <c r="C281" s="19">
        <v>10000</v>
      </c>
    </row>
    <row r="282" spans="1:3">
      <c r="A282" s="14" t="s">
        <v>22</v>
      </c>
      <c r="B282" s="15" t="s">
        <v>112</v>
      </c>
      <c r="C282" s="19">
        <v>10000</v>
      </c>
    </row>
    <row r="283" spans="1:3">
      <c r="A283" s="14" t="s">
        <v>19</v>
      </c>
      <c r="B283" s="15" t="s">
        <v>113</v>
      </c>
      <c r="C283" s="19">
        <v>37000</v>
      </c>
    </row>
    <row r="284" spans="1:3">
      <c r="A284" s="14" t="s">
        <v>14</v>
      </c>
      <c r="B284" s="15" t="s">
        <v>114</v>
      </c>
      <c r="C284" s="19">
        <v>18960</v>
      </c>
    </row>
    <row r="285" spans="1:3">
      <c r="A285" s="14" t="s">
        <v>11</v>
      </c>
      <c r="B285" s="15" t="s">
        <v>115</v>
      </c>
      <c r="C285" s="19">
        <v>26550</v>
      </c>
    </row>
    <row r="286" spans="1:3">
      <c r="A286" s="14" t="s">
        <v>14</v>
      </c>
      <c r="B286" s="15" t="s">
        <v>116</v>
      </c>
      <c r="C286" s="19">
        <v>81550</v>
      </c>
    </row>
    <row r="287" spans="1:3">
      <c r="A287" s="20" t="s">
        <v>30</v>
      </c>
      <c r="B287" s="15" t="s">
        <v>31</v>
      </c>
      <c r="C287" s="19">
        <v>6640</v>
      </c>
    </row>
    <row r="288" spans="1:3">
      <c r="A288" s="20" t="s">
        <v>30</v>
      </c>
      <c r="B288" s="15" t="s">
        <v>32</v>
      </c>
      <c r="C288" s="19">
        <v>5200</v>
      </c>
    </row>
    <row r="289" spans="1:3">
      <c r="A289" s="20" t="s">
        <v>30</v>
      </c>
      <c r="B289" s="15" t="s">
        <v>33</v>
      </c>
      <c r="C289" s="19">
        <v>40100</v>
      </c>
    </row>
    <row r="290" spans="1:3">
      <c r="A290" s="20" t="s">
        <v>30</v>
      </c>
      <c r="B290" s="15" t="s">
        <v>34</v>
      </c>
      <c r="C290" s="19">
        <v>34000</v>
      </c>
    </row>
    <row r="291" spans="1:3">
      <c r="A291" s="20" t="s">
        <v>30</v>
      </c>
      <c r="B291" s="15" t="s">
        <v>35</v>
      </c>
      <c r="C291" s="19">
        <v>4000</v>
      </c>
    </row>
    <row r="292" spans="1:3">
      <c r="A292" s="20" t="s">
        <v>30</v>
      </c>
      <c r="B292" s="15" t="s">
        <v>36</v>
      </c>
      <c r="C292" s="19">
        <v>31000</v>
      </c>
    </row>
    <row r="293" spans="1:3">
      <c r="A293" s="14" t="s">
        <v>14</v>
      </c>
      <c r="B293" s="15" t="s">
        <v>117</v>
      </c>
      <c r="C293" s="19">
        <v>38900</v>
      </c>
    </row>
    <row r="294" spans="1:3">
      <c r="A294" s="14" t="s">
        <v>22</v>
      </c>
      <c r="B294" s="15" t="s">
        <v>118</v>
      </c>
      <c r="C294" s="16">
        <v>1000</v>
      </c>
    </row>
    <row r="295" spans="1:3">
      <c r="A295" s="14" t="s">
        <v>14</v>
      </c>
      <c r="B295" s="15" t="s">
        <v>119</v>
      </c>
      <c r="C295" s="16">
        <f>1792900</f>
        <v>1792900</v>
      </c>
    </row>
    <row r="296" spans="1:3">
      <c r="A296" s="14" t="s">
        <v>14</v>
      </c>
      <c r="B296" s="15" t="s">
        <v>120</v>
      </c>
      <c r="C296" s="16">
        <v>4500</v>
      </c>
    </row>
    <row r="297" spans="1:3">
      <c r="A297" s="14" t="s">
        <v>14</v>
      </c>
      <c r="B297" s="15" t="s">
        <v>37</v>
      </c>
      <c r="C297" s="16">
        <v>6837</v>
      </c>
    </row>
    <row r="298" spans="1:3">
      <c r="A298" s="14" t="s">
        <v>14</v>
      </c>
      <c r="B298" s="15" t="s">
        <v>39</v>
      </c>
      <c r="C298" s="16">
        <v>18000</v>
      </c>
    </row>
    <row r="299" spans="1:3">
      <c r="A299" s="14" t="s">
        <v>14</v>
      </c>
      <c r="B299" s="15" t="s">
        <v>40</v>
      </c>
      <c r="C299" s="16">
        <v>2160</v>
      </c>
    </row>
    <row r="300" spans="1:3">
      <c r="A300" s="14" t="s">
        <v>24</v>
      </c>
      <c r="B300" s="15" t="s">
        <v>121</v>
      </c>
      <c r="C300" s="16">
        <v>11093</v>
      </c>
    </row>
    <row r="301" spans="1:3">
      <c r="A301" s="14" t="s">
        <v>6</v>
      </c>
      <c r="B301" s="15" t="s">
        <v>122</v>
      </c>
      <c r="C301" s="16">
        <v>6000</v>
      </c>
    </row>
    <row r="302" spans="1:3">
      <c r="A302" s="14" t="s">
        <v>22</v>
      </c>
      <c r="B302" s="15" t="s">
        <v>123</v>
      </c>
      <c r="C302" s="15">
        <v>629502</v>
      </c>
    </row>
    <row r="303" spans="1:3">
      <c r="A303" s="14" t="s">
        <v>24</v>
      </c>
      <c r="B303" s="15" t="s">
        <v>124</v>
      </c>
      <c r="C303" s="16">
        <v>12756</v>
      </c>
    </row>
    <row r="304" spans="1:3">
      <c r="A304" s="14" t="s">
        <v>24</v>
      </c>
      <c r="B304" s="15" t="s">
        <v>125</v>
      </c>
      <c r="C304" s="16">
        <v>7525</v>
      </c>
    </row>
    <row r="305" spans="1:3">
      <c r="A305" s="14" t="s">
        <v>5</v>
      </c>
      <c r="B305" s="15" t="s">
        <v>126</v>
      </c>
      <c r="C305" s="16">
        <v>3900</v>
      </c>
    </row>
    <row r="306" spans="1:3">
      <c r="A306" s="14" t="s">
        <v>6</v>
      </c>
      <c r="B306" s="15" t="s">
        <v>127</v>
      </c>
      <c r="C306" s="16">
        <v>20000</v>
      </c>
    </row>
    <row r="307" spans="1:3">
      <c r="A307" s="14" t="s">
        <v>5</v>
      </c>
      <c r="B307" s="15" t="s">
        <v>128</v>
      </c>
      <c r="C307" s="16">
        <v>2245</v>
      </c>
    </row>
    <row r="308" spans="1:3">
      <c r="A308" s="14" t="s">
        <v>5</v>
      </c>
      <c r="B308" s="15" t="s">
        <v>129</v>
      </c>
      <c r="C308" s="16">
        <v>11000</v>
      </c>
    </row>
    <row r="309" spans="1:3">
      <c r="A309" s="14" t="s">
        <v>5</v>
      </c>
      <c r="B309" s="15" t="s">
        <v>130</v>
      </c>
      <c r="C309" s="16">
        <v>2500</v>
      </c>
    </row>
    <row r="310" spans="1:3">
      <c r="A310" s="14" t="s">
        <v>5</v>
      </c>
      <c r="B310" s="15" t="s">
        <v>131</v>
      </c>
      <c r="C310" s="16">
        <v>50900</v>
      </c>
    </row>
    <row r="311" spans="1:3">
      <c r="A311" s="14" t="s">
        <v>20</v>
      </c>
      <c r="B311" s="15" t="s">
        <v>132</v>
      </c>
      <c r="C311" s="16">
        <v>2800</v>
      </c>
    </row>
    <row r="312" spans="1:3">
      <c r="A312" s="14" t="s">
        <v>17</v>
      </c>
      <c r="B312" s="15" t="s">
        <v>133</v>
      </c>
      <c r="C312" s="16">
        <v>2170</v>
      </c>
    </row>
    <row r="313" spans="1:3">
      <c r="A313" s="14" t="s">
        <v>20</v>
      </c>
      <c r="B313" s="21" t="s">
        <v>134</v>
      </c>
      <c r="C313" s="22">
        <v>1000</v>
      </c>
    </row>
    <row r="314" spans="1:3">
      <c r="A314" s="14" t="s">
        <v>17</v>
      </c>
      <c r="B314" s="15" t="s">
        <v>135</v>
      </c>
      <c r="C314" s="16">
        <v>400</v>
      </c>
    </row>
    <row r="315" spans="1:3">
      <c r="A315" s="14" t="s">
        <v>5</v>
      </c>
      <c r="B315" s="15" t="s">
        <v>136</v>
      </c>
      <c r="C315" s="16">
        <v>8000</v>
      </c>
    </row>
    <row r="316" spans="1:3">
      <c r="A316" s="20" t="s">
        <v>42</v>
      </c>
      <c r="B316" s="15" t="s">
        <v>41</v>
      </c>
      <c r="C316" s="16">
        <v>84113</v>
      </c>
    </row>
    <row r="317" spans="1:3">
      <c r="A317" s="14" t="s">
        <v>17</v>
      </c>
      <c r="B317" s="15" t="s">
        <v>137</v>
      </c>
      <c r="C317" s="16">
        <f>13000</f>
        <v>13000</v>
      </c>
    </row>
    <row r="318" spans="1:3">
      <c r="A318" s="14" t="s">
        <v>19</v>
      </c>
      <c r="B318" s="15" t="s">
        <v>138</v>
      </c>
      <c r="C318" s="16">
        <v>4000</v>
      </c>
    </row>
    <row r="319" spans="1:3">
      <c r="A319" s="14" t="s">
        <v>17</v>
      </c>
      <c r="B319" s="15" t="s">
        <v>425</v>
      </c>
      <c r="C319" s="16">
        <v>23375</v>
      </c>
    </row>
    <row r="320" spans="1:3">
      <c r="A320" s="14" t="s">
        <v>6</v>
      </c>
      <c r="B320" s="15" t="s">
        <v>139</v>
      </c>
      <c r="C320" s="16">
        <v>45400.5</v>
      </c>
    </row>
    <row r="321" spans="1:3">
      <c r="A321" s="14" t="s">
        <v>17</v>
      </c>
      <c r="B321" s="21" t="s">
        <v>140</v>
      </c>
      <c r="C321" s="16">
        <v>1700</v>
      </c>
    </row>
    <row r="322" spans="1:3">
      <c r="A322" s="14" t="s">
        <v>17</v>
      </c>
      <c r="B322" s="21" t="s">
        <v>141</v>
      </c>
      <c r="C322" s="16">
        <v>850</v>
      </c>
    </row>
    <row r="323" spans="1:3">
      <c r="A323" s="14" t="s">
        <v>17</v>
      </c>
      <c r="B323" s="21" t="s">
        <v>142</v>
      </c>
      <c r="C323" s="16">
        <v>1000</v>
      </c>
    </row>
    <row r="324" spans="1:3">
      <c r="A324" s="14" t="s">
        <v>22</v>
      </c>
      <c r="B324" s="21" t="s">
        <v>143</v>
      </c>
      <c r="C324" s="16">
        <v>2000</v>
      </c>
    </row>
    <row r="325" spans="1:3">
      <c r="A325" s="20" t="s">
        <v>43</v>
      </c>
      <c r="B325" s="21" t="s">
        <v>44</v>
      </c>
      <c r="C325" s="16">
        <v>68400</v>
      </c>
    </row>
    <row r="326" spans="1:3">
      <c r="A326" s="14" t="s">
        <v>22</v>
      </c>
      <c r="B326" s="21" t="s">
        <v>50</v>
      </c>
      <c r="C326" s="22">
        <v>1500</v>
      </c>
    </row>
    <row r="327" spans="1:3">
      <c r="A327" s="14" t="s">
        <v>14</v>
      </c>
      <c r="B327" s="15" t="s">
        <v>49</v>
      </c>
      <c r="C327" s="16">
        <v>13125</v>
      </c>
    </row>
    <row r="328" spans="1:3">
      <c r="A328" s="14" t="s">
        <v>14</v>
      </c>
      <c r="B328" s="15" t="s">
        <v>48</v>
      </c>
      <c r="C328" s="16">
        <v>4218</v>
      </c>
    </row>
    <row r="329" spans="1:3">
      <c r="A329" s="14" t="s">
        <v>14</v>
      </c>
      <c r="B329" s="15" t="s">
        <v>47</v>
      </c>
      <c r="C329" s="16">
        <v>3800</v>
      </c>
    </row>
    <row r="330" spans="1:3">
      <c r="A330" s="14" t="s">
        <v>14</v>
      </c>
      <c r="B330" s="15" t="s">
        <v>46</v>
      </c>
      <c r="C330" s="16">
        <v>6000</v>
      </c>
    </row>
    <row r="331" spans="1:3">
      <c r="A331" s="14" t="s">
        <v>14</v>
      </c>
      <c r="B331" s="15" t="s">
        <v>45</v>
      </c>
      <c r="C331" s="16">
        <v>22520</v>
      </c>
    </row>
    <row r="332" spans="1:3">
      <c r="A332" s="14" t="s">
        <v>17</v>
      </c>
      <c r="B332" s="15" t="s">
        <v>392</v>
      </c>
      <c r="C332" s="16">
        <v>35045</v>
      </c>
    </row>
    <row r="333" spans="1:3">
      <c r="A333" s="44" t="s">
        <v>4</v>
      </c>
      <c r="B333" s="45"/>
      <c r="C333" s="23">
        <f>SUM(C258:C332)</f>
        <v>4008396.5</v>
      </c>
    </row>
  </sheetData>
  <mergeCells count="10">
    <mergeCell ref="A1:C1"/>
    <mergeCell ref="A73:B73"/>
    <mergeCell ref="A166:C166"/>
    <mergeCell ref="A253:B253"/>
    <mergeCell ref="A333:B333"/>
    <mergeCell ref="A256:C256"/>
    <mergeCell ref="A76:C76"/>
    <mergeCell ref="A121:B121"/>
    <mergeCell ref="A124:C124"/>
    <mergeCell ref="A163:B163"/>
  </mergeCells>
  <conditionalFormatting sqref="B46">
    <cfRule type="duplicateValues" dxfId="95" priority="71"/>
  </conditionalFormatting>
  <conditionalFormatting sqref="B47:B72 B3:B45">
    <cfRule type="duplicateValues" dxfId="94" priority="106"/>
  </conditionalFormatting>
  <conditionalFormatting sqref="B47:B72 B3:B45">
    <cfRule type="duplicateValues" dxfId="93" priority="109"/>
    <cfRule type="duplicateValues" dxfId="92" priority="110"/>
  </conditionalFormatting>
  <conditionalFormatting sqref="B78:B120">
    <cfRule type="duplicateValues" dxfId="91" priority="228"/>
  </conditionalFormatting>
  <conditionalFormatting sqref="B78:B120">
    <cfRule type="duplicateValues" dxfId="90" priority="230"/>
    <cfRule type="duplicateValues" dxfId="89" priority="231"/>
  </conditionalFormatting>
  <conditionalFormatting sqref="B126">
    <cfRule type="duplicateValues" dxfId="88" priority="63"/>
  </conditionalFormatting>
  <conditionalFormatting sqref="B126">
    <cfRule type="duplicateValues" dxfId="87" priority="61"/>
    <cfRule type="duplicateValues" dxfId="86" priority="62"/>
  </conditionalFormatting>
  <conditionalFormatting sqref="B127">
    <cfRule type="duplicateValues" dxfId="85" priority="60"/>
  </conditionalFormatting>
  <conditionalFormatting sqref="B127">
    <cfRule type="duplicateValues" dxfId="84" priority="58"/>
    <cfRule type="duplicateValues" dxfId="83" priority="59"/>
  </conditionalFormatting>
  <conditionalFormatting sqref="B128">
    <cfRule type="duplicateValues" dxfId="82" priority="57"/>
  </conditionalFormatting>
  <conditionalFormatting sqref="B128">
    <cfRule type="duplicateValues" dxfId="81" priority="55"/>
    <cfRule type="duplicateValues" dxfId="80" priority="56"/>
  </conditionalFormatting>
  <conditionalFormatting sqref="B129">
    <cfRule type="duplicateValues" dxfId="79" priority="54"/>
  </conditionalFormatting>
  <conditionalFormatting sqref="B129">
    <cfRule type="duplicateValues" dxfId="78" priority="52"/>
    <cfRule type="duplicateValues" dxfId="77" priority="53"/>
  </conditionalFormatting>
  <conditionalFormatting sqref="B130">
    <cfRule type="duplicateValues" dxfId="76" priority="30"/>
  </conditionalFormatting>
  <conditionalFormatting sqref="B130">
    <cfRule type="duplicateValues" dxfId="75" priority="28"/>
    <cfRule type="duplicateValues" dxfId="74" priority="29"/>
  </conditionalFormatting>
  <conditionalFormatting sqref="B139:B162">
    <cfRule type="duplicateValues" dxfId="73" priority="404"/>
  </conditionalFormatting>
  <conditionalFormatting sqref="B139:B162">
    <cfRule type="duplicateValues" dxfId="72" priority="405"/>
    <cfRule type="duplicateValues" dxfId="71" priority="406"/>
  </conditionalFormatting>
  <conditionalFormatting sqref="B131:B138">
    <cfRule type="duplicateValues" dxfId="70" priority="515"/>
  </conditionalFormatting>
  <conditionalFormatting sqref="B131:B138">
    <cfRule type="duplicateValues" dxfId="69" priority="517"/>
    <cfRule type="duplicateValues" dxfId="68" priority="518"/>
  </conditionalFormatting>
  <conditionalFormatting sqref="B233:B240">
    <cfRule type="duplicateValues" dxfId="67" priority="12"/>
    <cfRule type="duplicateValues" dxfId="66" priority="13"/>
  </conditionalFormatting>
  <conditionalFormatting sqref="B245:B252">
    <cfRule type="duplicateValues" dxfId="65" priority="10"/>
    <cfRule type="duplicateValues" dxfId="64" priority="11"/>
  </conditionalFormatting>
  <conditionalFormatting sqref="B241:B244">
    <cfRule type="duplicateValues" dxfId="63" priority="550"/>
    <cfRule type="duplicateValues" dxfId="62" priority="551"/>
  </conditionalFormatting>
  <conditionalFormatting sqref="B203:B232">
    <cfRule type="duplicateValues" dxfId="61" priority="655"/>
    <cfRule type="duplicateValues" dxfId="60" priority="656"/>
  </conditionalFormatting>
  <conditionalFormatting sqref="B168:B202">
    <cfRule type="duplicateValues" dxfId="59" priority="820"/>
    <cfRule type="duplicateValues" dxfId="58" priority="821"/>
  </conditionalFormatting>
  <conditionalFormatting sqref="B315:B332">
    <cfRule type="duplicateValues" dxfId="57" priority="1005"/>
  </conditionalFormatting>
  <conditionalFormatting sqref="B293:B314">
    <cfRule type="duplicateValues" dxfId="56" priority="1229"/>
  </conditionalFormatting>
  <conditionalFormatting sqref="B268:B292">
    <cfRule type="duplicateValues" dxfId="55" priority="1446"/>
  </conditionalFormatting>
  <conditionalFormatting sqref="B258:B267">
    <cfRule type="duplicateValues" dxfId="54" priority="169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3"/>
  <sheetViews>
    <sheetView tabSelected="1" workbookViewId="0">
      <selection activeCell="G8" sqref="G8"/>
    </sheetView>
  </sheetViews>
  <sheetFormatPr defaultRowHeight="15"/>
  <cols>
    <col min="1" max="1" width="26.85546875" bestFit="1" customWidth="1"/>
    <col min="2" max="2" width="55.28515625" bestFit="1" customWidth="1"/>
    <col min="3" max="3" width="14" style="41" customWidth="1"/>
  </cols>
  <sheetData>
    <row r="1" spans="1:4" ht="26.25" customHeight="1">
      <c r="A1" s="50" t="s">
        <v>28</v>
      </c>
      <c r="B1" s="51"/>
      <c r="C1" s="52"/>
      <c r="D1" s="71"/>
    </row>
    <row r="2" spans="1:4" ht="42.75" customHeight="1">
      <c r="A2" s="53" t="s">
        <v>1</v>
      </c>
      <c r="B2" s="53" t="s">
        <v>2</v>
      </c>
      <c r="C2" s="53" t="s">
        <v>3</v>
      </c>
      <c r="D2" s="72"/>
    </row>
    <row r="3" spans="1:4">
      <c r="A3" s="54" t="s">
        <v>15</v>
      </c>
      <c r="B3" s="55" t="s">
        <v>64</v>
      </c>
      <c r="C3" s="56">
        <v>96180</v>
      </c>
    </row>
    <row r="4" spans="1:4">
      <c r="A4" s="54" t="s">
        <v>15</v>
      </c>
      <c r="B4" s="55" t="s">
        <v>363</v>
      </c>
      <c r="C4" s="56">
        <v>2200</v>
      </c>
    </row>
    <row r="5" spans="1:4">
      <c r="A5" s="54" t="s">
        <v>5</v>
      </c>
      <c r="B5" s="55" t="s">
        <v>52</v>
      </c>
      <c r="C5" s="56">
        <v>109462</v>
      </c>
    </row>
    <row r="6" spans="1:4">
      <c r="A6" s="54" t="s">
        <v>8</v>
      </c>
      <c r="B6" s="55" t="s">
        <v>66</v>
      </c>
      <c r="C6" s="56">
        <v>70461</v>
      </c>
    </row>
    <row r="7" spans="1:4">
      <c r="A7" s="54" t="s">
        <v>6</v>
      </c>
      <c r="B7" s="55" t="s">
        <v>364</v>
      </c>
      <c r="C7" s="56">
        <v>1460</v>
      </c>
    </row>
    <row r="8" spans="1:4">
      <c r="A8" s="54" t="s">
        <v>6</v>
      </c>
      <c r="B8" s="55" t="s">
        <v>365</v>
      </c>
      <c r="C8" s="56">
        <v>196</v>
      </c>
    </row>
    <row r="9" spans="1:4">
      <c r="A9" s="54" t="s">
        <v>6</v>
      </c>
      <c r="B9" s="55" t="s">
        <v>293</v>
      </c>
      <c r="C9" s="56">
        <v>27377</v>
      </c>
    </row>
    <row r="10" spans="1:4">
      <c r="A10" s="54" t="s">
        <v>6</v>
      </c>
      <c r="B10" s="55" t="s">
        <v>153</v>
      </c>
      <c r="C10" s="56">
        <v>11624</v>
      </c>
    </row>
    <row r="11" spans="1:4">
      <c r="A11" s="54" t="s">
        <v>6</v>
      </c>
      <c r="B11" s="55" t="s">
        <v>57</v>
      </c>
      <c r="C11" s="56">
        <v>30000</v>
      </c>
    </row>
    <row r="12" spans="1:4">
      <c r="A12" s="54" t="s">
        <v>15</v>
      </c>
      <c r="B12" s="57" t="s">
        <v>366</v>
      </c>
      <c r="C12" s="58">
        <v>24300</v>
      </c>
    </row>
    <row r="13" spans="1:4">
      <c r="A13" s="54" t="s">
        <v>6</v>
      </c>
      <c r="B13" s="55" t="s">
        <v>367</v>
      </c>
      <c r="C13" s="59">
        <v>5000</v>
      </c>
    </row>
    <row r="14" spans="1:4">
      <c r="A14" s="54" t="s">
        <v>17</v>
      </c>
      <c r="B14" s="55" t="s">
        <v>309</v>
      </c>
      <c r="C14" s="59">
        <v>200</v>
      </c>
    </row>
    <row r="15" spans="1:4">
      <c r="A15" s="54" t="s">
        <v>15</v>
      </c>
      <c r="B15" s="55" t="s">
        <v>368</v>
      </c>
      <c r="C15" s="59">
        <v>3907</v>
      </c>
    </row>
    <row r="16" spans="1:4">
      <c r="A16" s="54" t="s">
        <v>6</v>
      </c>
      <c r="B16" s="55" t="s">
        <v>369</v>
      </c>
      <c r="C16" s="59">
        <v>7500</v>
      </c>
    </row>
    <row r="17" spans="1:3">
      <c r="A17" s="54" t="s">
        <v>15</v>
      </c>
      <c r="B17" s="55" t="s">
        <v>370</v>
      </c>
      <c r="C17" s="59">
        <v>2305</v>
      </c>
    </row>
    <row r="18" spans="1:3">
      <c r="A18" s="54" t="s">
        <v>15</v>
      </c>
      <c r="B18" s="55" t="s">
        <v>423</v>
      </c>
      <c r="C18" s="59">
        <v>2750</v>
      </c>
    </row>
    <row r="19" spans="1:3">
      <c r="A19" s="54" t="s">
        <v>6</v>
      </c>
      <c r="B19" s="55" t="s">
        <v>371</v>
      </c>
      <c r="C19" s="59">
        <v>87562</v>
      </c>
    </row>
    <row r="20" spans="1:3">
      <c r="A20" s="54" t="s">
        <v>15</v>
      </c>
      <c r="B20" s="55" t="s">
        <v>69</v>
      </c>
      <c r="C20" s="56">
        <v>1422</v>
      </c>
    </row>
    <row r="21" spans="1:3">
      <c r="A21" s="54" t="s">
        <v>15</v>
      </c>
      <c r="B21" s="55" t="s">
        <v>372</v>
      </c>
      <c r="C21" s="56">
        <v>4320</v>
      </c>
    </row>
    <row r="22" spans="1:3">
      <c r="A22" s="54" t="s">
        <v>6</v>
      </c>
      <c r="B22" s="55" t="s">
        <v>373</v>
      </c>
      <c r="C22" s="56">
        <v>36145</v>
      </c>
    </row>
    <row r="23" spans="1:3">
      <c r="A23" s="54" t="s">
        <v>6</v>
      </c>
      <c r="B23" s="55" t="s">
        <v>375</v>
      </c>
      <c r="C23" s="56">
        <v>5580</v>
      </c>
    </row>
    <row r="24" spans="1:3">
      <c r="A24" s="54" t="s">
        <v>15</v>
      </c>
      <c r="B24" s="55" t="s">
        <v>307</v>
      </c>
      <c r="C24" s="56">
        <v>1050</v>
      </c>
    </row>
    <row r="25" spans="1:3">
      <c r="A25" s="54" t="s">
        <v>17</v>
      </c>
      <c r="B25" s="55" t="s">
        <v>376</v>
      </c>
      <c r="C25" s="56">
        <v>10100</v>
      </c>
    </row>
    <row r="26" spans="1:3">
      <c r="A26" s="54" t="s">
        <v>18</v>
      </c>
      <c r="B26" s="55" t="s">
        <v>377</v>
      </c>
      <c r="C26" s="56">
        <v>600</v>
      </c>
    </row>
    <row r="27" spans="1:3">
      <c r="A27" s="54" t="s">
        <v>18</v>
      </c>
      <c r="B27" s="55" t="s">
        <v>378</v>
      </c>
      <c r="C27" s="56">
        <v>29325</v>
      </c>
    </row>
    <row r="28" spans="1:3">
      <c r="A28" s="54" t="s">
        <v>18</v>
      </c>
      <c r="B28" s="55" t="s">
        <v>379</v>
      </c>
      <c r="C28" s="56">
        <v>6465</v>
      </c>
    </row>
    <row r="29" spans="1:3">
      <c r="A29" s="54" t="s">
        <v>15</v>
      </c>
      <c r="B29" s="55" t="s">
        <v>380</v>
      </c>
      <c r="C29" s="56">
        <v>1900</v>
      </c>
    </row>
    <row r="30" spans="1:3">
      <c r="A30" s="54" t="s">
        <v>17</v>
      </c>
      <c r="B30" s="55" t="s">
        <v>381</v>
      </c>
      <c r="C30" s="56">
        <v>23820</v>
      </c>
    </row>
    <row r="31" spans="1:3">
      <c r="A31" s="54" t="s">
        <v>17</v>
      </c>
      <c r="B31" s="55" t="s">
        <v>382</v>
      </c>
      <c r="C31" s="56">
        <v>61188</v>
      </c>
    </row>
    <row r="32" spans="1:3">
      <c r="A32" s="54" t="s">
        <v>17</v>
      </c>
      <c r="B32" s="55" t="s">
        <v>383</v>
      </c>
      <c r="C32" s="56">
        <v>3000</v>
      </c>
    </row>
    <row r="33" spans="1:3">
      <c r="A33" s="54" t="s">
        <v>15</v>
      </c>
      <c r="B33" s="55" t="s">
        <v>384</v>
      </c>
      <c r="C33" s="56">
        <v>2166</v>
      </c>
    </row>
    <row r="34" spans="1:3">
      <c r="A34" s="54" t="s">
        <v>23</v>
      </c>
      <c r="B34" s="55" t="s">
        <v>385</v>
      </c>
      <c r="C34" s="56">
        <v>1000</v>
      </c>
    </row>
    <row r="35" spans="1:3">
      <c r="A35" s="60" t="s">
        <v>4</v>
      </c>
      <c r="B35" s="60"/>
      <c r="C35" s="61">
        <f>SUM(C3:C34)</f>
        <v>670565</v>
      </c>
    </row>
    <row r="36" spans="1:3">
      <c r="A36" s="62"/>
      <c r="B36" s="62"/>
      <c r="C36" s="62"/>
    </row>
    <row r="37" spans="1:3">
      <c r="A37" s="62"/>
      <c r="B37" s="62"/>
      <c r="C37" s="62"/>
    </row>
    <row r="38" spans="1:3">
      <c r="A38" s="62"/>
      <c r="B38" s="62"/>
      <c r="C38" s="62"/>
    </row>
    <row r="39" spans="1:3" ht="27" customHeight="1">
      <c r="A39" s="67" t="s">
        <v>29</v>
      </c>
      <c r="B39" s="67"/>
      <c r="C39" s="67"/>
    </row>
    <row r="40" spans="1:3" ht="39.75" customHeight="1">
      <c r="A40" s="53" t="s">
        <v>1</v>
      </c>
      <c r="B40" s="53" t="s">
        <v>2</v>
      </c>
      <c r="C40" s="53" t="s">
        <v>3</v>
      </c>
    </row>
    <row r="41" spans="1:3">
      <c r="A41" s="54" t="s">
        <v>15</v>
      </c>
      <c r="B41" s="55" t="s">
        <v>64</v>
      </c>
      <c r="C41" s="56">
        <v>64506</v>
      </c>
    </row>
    <row r="42" spans="1:3">
      <c r="A42" s="54" t="s">
        <v>15</v>
      </c>
      <c r="B42" s="55" t="s">
        <v>289</v>
      </c>
      <c r="C42" s="56">
        <v>84722</v>
      </c>
    </row>
    <row r="43" spans="1:3">
      <c r="A43" s="54" t="s">
        <v>8</v>
      </c>
      <c r="B43" s="55" t="s">
        <v>81</v>
      </c>
      <c r="C43" s="56">
        <v>8252</v>
      </c>
    </row>
    <row r="44" spans="1:3">
      <c r="A44" s="54" t="s">
        <v>7</v>
      </c>
      <c r="B44" s="55" t="s">
        <v>290</v>
      </c>
      <c r="C44" s="56">
        <v>3100</v>
      </c>
    </row>
    <row r="45" spans="1:3">
      <c r="A45" s="54" t="s">
        <v>19</v>
      </c>
      <c r="B45" s="55" t="s">
        <v>291</v>
      </c>
      <c r="C45" s="56">
        <v>4000</v>
      </c>
    </row>
    <row r="46" spans="1:3">
      <c r="A46" s="54" t="s">
        <v>6</v>
      </c>
      <c r="B46" s="55" t="s">
        <v>292</v>
      </c>
      <c r="C46" s="56">
        <v>1604</v>
      </c>
    </row>
    <row r="47" spans="1:3">
      <c r="A47" s="54" t="s">
        <v>6</v>
      </c>
      <c r="B47" s="55" t="s">
        <v>293</v>
      </c>
      <c r="C47" s="56">
        <v>22348</v>
      </c>
    </row>
    <row r="48" spans="1:3">
      <c r="A48" s="54" t="s">
        <v>6</v>
      </c>
      <c r="B48" s="55" t="s">
        <v>153</v>
      </c>
      <c r="C48" s="56">
        <v>11668</v>
      </c>
    </row>
    <row r="49" spans="1:3">
      <c r="A49" s="54" t="s">
        <v>15</v>
      </c>
      <c r="B49" s="55" t="s">
        <v>57</v>
      </c>
      <c r="C49" s="56">
        <v>10500</v>
      </c>
    </row>
    <row r="50" spans="1:3">
      <c r="A50" s="54" t="s">
        <v>15</v>
      </c>
      <c r="B50" s="57" t="s">
        <v>294</v>
      </c>
      <c r="C50" s="58">
        <v>21430</v>
      </c>
    </row>
    <row r="51" spans="1:3">
      <c r="A51" s="54" t="s">
        <v>15</v>
      </c>
      <c r="B51" s="57" t="s">
        <v>295</v>
      </c>
      <c r="C51" s="58">
        <v>5075</v>
      </c>
    </row>
    <row r="52" spans="1:3">
      <c r="A52" s="54" t="s">
        <v>6</v>
      </c>
      <c r="B52" s="55" t="s">
        <v>296</v>
      </c>
      <c r="C52" s="59">
        <v>4800</v>
      </c>
    </row>
    <row r="53" spans="1:3">
      <c r="A53" s="54" t="s">
        <v>15</v>
      </c>
      <c r="B53" s="55" t="s">
        <v>59</v>
      </c>
      <c r="C53" s="59">
        <v>1600</v>
      </c>
    </row>
    <row r="54" spans="1:3">
      <c r="A54" s="54" t="s">
        <v>15</v>
      </c>
      <c r="B54" s="55" t="s">
        <v>297</v>
      </c>
      <c r="C54" s="59">
        <v>7750</v>
      </c>
    </row>
    <row r="55" spans="1:3">
      <c r="A55" s="54" t="s">
        <v>15</v>
      </c>
      <c r="B55" s="55" t="s">
        <v>298</v>
      </c>
      <c r="C55" s="59">
        <v>38760</v>
      </c>
    </row>
    <row r="56" spans="1:3">
      <c r="A56" s="54" t="s">
        <v>15</v>
      </c>
      <c r="B56" s="55" t="s">
        <v>299</v>
      </c>
      <c r="C56" s="59">
        <v>4500</v>
      </c>
    </row>
    <row r="57" spans="1:3">
      <c r="A57" s="54" t="s">
        <v>15</v>
      </c>
      <c r="B57" s="55" t="s">
        <v>300</v>
      </c>
      <c r="C57" s="59">
        <v>1000</v>
      </c>
    </row>
    <row r="58" spans="1:3">
      <c r="A58" s="54" t="s">
        <v>5</v>
      </c>
      <c r="B58" s="55" t="s">
        <v>52</v>
      </c>
      <c r="C58" s="59">
        <v>1603</v>
      </c>
    </row>
    <row r="59" spans="1:3">
      <c r="A59" s="54" t="s">
        <v>6</v>
      </c>
      <c r="B59" s="55" t="s">
        <v>301</v>
      </c>
      <c r="C59" s="56">
        <v>31000</v>
      </c>
    </row>
    <row r="60" spans="1:3">
      <c r="A60" s="54" t="s">
        <v>6</v>
      </c>
      <c r="B60" s="55" t="s">
        <v>302</v>
      </c>
      <c r="C60" s="56">
        <v>4400</v>
      </c>
    </row>
    <row r="61" spans="1:3">
      <c r="A61" s="54" t="s">
        <v>15</v>
      </c>
      <c r="B61" s="55" t="s">
        <v>304</v>
      </c>
      <c r="C61" s="56">
        <v>3500</v>
      </c>
    </row>
    <row r="62" spans="1:3">
      <c r="A62" s="54" t="s">
        <v>17</v>
      </c>
      <c r="B62" s="55" t="s">
        <v>305</v>
      </c>
      <c r="C62" s="56">
        <v>46745</v>
      </c>
    </row>
    <row r="63" spans="1:3">
      <c r="A63" s="54" t="s">
        <v>15</v>
      </c>
      <c r="B63" s="63" t="s">
        <v>306</v>
      </c>
      <c r="C63" s="64">
        <v>15701</v>
      </c>
    </row>
    <row r="64" spans="1:3">
      <c r="A64" s="54" t="s">
        <v>15</v>
      </c>
      <c r="B64" s="55" t="s">
        <v>307</v>
      </c>
      <c r="C64" s="56">
        <v>600</v>
      </c>
    </row>
    <row r="65" spans="1:3">
      <c r="A65" s="54" t="s">
        <v>15</v>
      </c>
      <c r="B65" s="55" t="s">
        <v>308</v>
      </c>
      <c r="C65" s="56">
        <v>21905</v>
      </c>
    </row>
    <row r="66" spans="1:3">
      <c r="A66" s="54" t="s">
        <v>17</v>
      </c>
      <c r="B66" s="55" t="s">
        <v>309</v>
      </c>
      <c r="C66" s="56">
        <v>970</v>
      </c>
    </row>
    <row r="67" spans="1:3">
      <c r="A67" s="54" t="s">
        <v>6</v>
      </c>
      <c r="B67" s="55" t="s">
        <v>310</v>
      </c>
      <c r="C67" s="56">
        <v>4400</v>
      </c>
    </row>
    <row r="68" spans="1:3">
      <c r="A68" s="54" t="s">
        <v>6</v>
      </c>
      <c r="B68" s="55" t="s">
        <v>311</v>
      </c>
      <c r="C68" s="56">
        <v>20200</v>
      </c>
    </row>
    <row r="69" spans="1:3">
      <c r="A69" s="54" t="s">
        <v>6</v>
      </c>
      <c r="B69" s="55" t="s">
        <v>303</v>
      </c>
      <c r="C69" s="56">
        <f>2120</f>
        <v>2120</v>
      </c>
    </row>
    <row r="70" spans="1:3">
      <c r="A70" s="65" t="s">
        <v>4</v>
      </c>
      <c r="B70" s="65"/>
      <c r="C70" s="61">
        <f>SUM(C41:C69)</f>
        <v>448759</v>
      </c>
    </row>
    <row r="71" spans="1:3">
      <c r="A71" s="62"/>
      <c r="B71" s="62"/>
      <c r="C71" s="62"/>
    </row>
    <row r="72" spans="1:3">
      <c r="A72" s="62"/>
      <c r="B72" s="62"/>
      <c r="C72" s="62"/>
    </row>
    <row r="73" spans="1:3" ht="28.5" customHeight="1">
      <c r="A73" s="67" t="s">
        <v>25</v>
      </c>
      <c r="B73" s="67"/>
      <c r="C73" s="67"/>
    </row>
    <row r="74" spans="1:3" ht="46.5" customHeight="1">
      <c r="A74" s="53" t="s">
        <v>1</v>
      </c>
      <c r="B74" s="53" t="s">
        <v>2</v>
      </c>
      <c r="C74" s="53" t="s">
        <v>3</v>
      </c>
    </row>
    <row r="75" spans="1:3">
      <c r="A75" s="54" t="s">
        <v>5</v>
      </c>
      <c r="B75" s="66" t="s">
        <v>52</v>
      </c>
      <c r="C75" s="56">
        <v>195193</v>
      </c>
    </row>
    <row r="76" spans="1:3">
      <c r="A76" s="54" t="s">
        <v>5</v>
      </c>
      <c r="B76" s="66" t="s">
        <v>393</v>
      </c>
      <c r="C76" s="56">
        <v>26470</v>
      </c>
    </row>
    <row r="77" spans="1:3">
      <c r="A77" s="54" t="s">
        <v>15</v>
      </c>
      <c r="B77" s="55" t="s">
        <v>235</v>
      </c>
      <c r="C77" s="56">
        <v>4000</v>
      </c>
    </row>
    <row r="78" spans="1:3">
      <c r="A78" s="54" t="s">
        <v>15</v>
      </c>
      <c r="B78" s="55" t="s">
        <v>236</v>
      </c>
      <c r="C78" s="56">
        <v>104288</v>
      </c>
    </row>
    <row r="79" spans="1:3">
      <c r="A79" s="54" t="s">
        <v>15</v>
      </c>
      <c r="B79" s="55" t="s">
        <v>70</v>
      </c>
      <c r="C79" s="56">
        <v>7450</v>
      </c>
    </row>
    <row r="80" spans="1:3">
      <c r="A80" s="54" t="s">
        <v>15</v>
      </c>
      <c r="B80" s="55" t="s">
        <v>237</v>
      </c>
      <c r="C80" s="56">
        <v>5300</v>
      </c>
    </row>
    <row r="81" spans="1:3">
      <c r="A81" s="54" t="s">
        <v>15</v>
      </c>
      <c r="B81" s="55" t="s">
        <v>238</v>
      </c>
      <c r="C81" s="56">
        <v>1000</v>
      </c>
    </row>
    <row r="82" spans="1:3">
      <c r="A82" s="54" t="s">
        <v>6</v>
      </c>
      <c r="B82" s="55" t="s">
        <v>239</v>
      </c>
      <c r="C82" s="56">
        <v>7496</v>
      </c>
    </row>
    <row r="83" spans="1:3">
      <c r="A83" s="54" t="s">
        <v>15</v>
      </c>
      <c r="B83" s="55" t="s">
        <v>240</v>
      </c>
      <c r="C83" s="56">
        <v>7600</v>
      </c>
    </row>
    <row r="84" spans="1:3">
      <c r="A84" s="54" t="s">
        <v>15</v>
      </c>
      <c r="B84" s="55" t="s">
        <v>241</v>
      </c>
      <c r="C84" s="56">
        <v>12824</v>
      </c>
    </row>
    <row r="85" spans="1:3">
      <c r="A85" s="54" t="s">
        <v>15</v>
      </c>
      <c r="B85" s="55" t="s">
        <v>242</v>
      </c>
      <c r="C85" s="56">
        <v>13900</v>
      </c>
    </row>
    <row r="86" spans="1:3">
      <c r="A86" s="54" t="s">
        <v>6</v>
      </c>
      <c r="B86" s="55" t="s">
        <v>56</v>
      </c>
      <c r="C86" s="56">
        <v>19812</v>
      </c>
    </row>
    <row r="87" spans="1:3">
      <c r="A87" s="54" t="s">
        <v>6</v>
      </c>
      <c r="B87" s="55" t="s">
        <v>243</v>
      </c>
      <c r="C87" s="59">
        <v>5145</v>
      </c>
    </row>
    <row r="88" spans="1:3">
      <c r="A88" s="54" t="s">
        <v>6</v>
      </c>
      <c r="B88" s="55" t="s">
        <v>63</v>
      </c>
      <c r="C88" s="59">
        <v>210233</v>
      </c>
    </row>
    <row r="89" spans="1:3">
      <c r="A89" s="54" t="s">
        <v>6</v>
      </c>
      <c r="B89" s="55" t="s">
        <v>244</v>
      </c>
      <c r="C89" s="59">
        <v>19000</v>
      </c>
    </row>
    <row r="90" spans="1:3">
      <c r="A90" s="54" t="s">
        <v>8</v>
      </c>
      <c r="B90" s="55" t="s">
        <v>81</v>
      </c>
      <c r="C90" s="59">
        <v>11390</v>
      </c>
    </row>
    <row r="91" spans="1:3">
      <c r="A91" s="54" t="s">
        <v>5</v>
      </c>
      <c r="B91" s="55" t="s">
        <v>245</v>
      </c>
      <c r="C91" s="59">
        <v>3844</v>
      </c>
    </row>
    <row r="92" spans="1:3">
      <c r="A92" s="54" t="s">
        <v>6</v>
      </c>
      <c r="B92" s="55" t="s">
        <v>246</v>
      </c>
      <c r="C92" s="56">
        <v>128009</v>
      </c>
    </row>
    <row r="93" spans="1:3">
      <c r="A93" s="54" t="s">
        <v>6</v>
      </c>
      <c r="B93" s="55" t="s">
        <v>247</v>
      </c>
      <c r="C93" s="56">
        <v>36141</v>
      </c>
    </row>
    <row r="94" spans="1:3">
      <c r="A94" s="54" t="s">
        <v>5</v>
      </c>
      <c r="B94" s="55" t="s">
        <v>248</v>
      </c>
      <c r="C94" s="56">
        <v>6800</v>
      </c>
    </row>
    <row r="95" spans="1:3">
      <c r="A95" s="54" t="s">
        <v>6</v>
      </c>
      <c r="B95" s="55" t="s">
        <v>394</v>
      </c>
      <c r="C95" s="56">
        <v>1000</v>
      </c>
    </row>
    <row r="96" spans="1:3">
      <c r="A96" s="65" t="s">
        <v>4</v>
      </c>
      <c r="B96" s="65"/>
      <c r="C96" s="61">
        <f>SUM(C75:C95)</f>
        <v>826895</v>
      </c>
    </row>
    <row r="97" spans="1:3">
      <c r="A97" s="62"/>
      <c r="B97" s="62"/>
      <c r="C97" s="62"/>
    </row>
    <row r="98" spans="1:3">
      <c r="A98" s="62"/>
      <c r="B98" s="62"/>
      <c r="C98" s="62"/>
    </row>
    <row r="99" spans="1:3" ht="28.5" customHeight="1">
      <c r="A99" s="67" t="s">
        <v>26</v>
      </c>
      <c r="B99" s="67"/>
      <c r="C99" s="67"/>
    </row>
    <row r="100" spans="1:3" ht="47.25" customHeight="1">
      <c r="A100" s="53" t="s">
        <v>1</v>
      </c>
      <c r="B100" s="53" t="s">
        <v>2</v>
      </c>
      <c r="C100" s="53" t="s">
        <v>3</v>
      </c>
    </row>
    <row r="101" spans="1:3">
      <c r="A101" s="54" t="s">
        <v>5</v>
      </c>
      <c r="B101" s="55" t="s">
        <v>145</v>
      </c>
      <c r="C101" s="56">
        <v>483118</v>
      </c>
    </row>
    <row r="102" spans="1:3">
      <c r="A102" s="54" t="s">
        <v>7</v>
      </c>
      <c r="B102" s="55" t="s">
        <v>234</v>
      </c>
      <c r="C102" s="56">
        <v>465</v>
      </c>
    </row>
    <row r="103" spans="1:3">
      <c r="A103" s="54" t="s">
        <v>17</v>
      </c>
      <c r="B103" s="55" t="s">
        <v>147</v>
      </c>
      <c r="C103" s="56">
        <v>67728</v>
      </c>
    </row>
    <row r="104" spans="1:3">
      <c r="A104" s="54" t="s">
        <v>6</v>
      </c>
      <c r="B104" s="55" t="s">
        <v>146</v>
      </c>
      <c r="C104" s="59">
        <v>34660</v>
      </c>
    </row>
    <row r="105" spans="1:3">
      <c r="A105" s="54" t="s">
        <v>6</v>
      </c>
      <c r="B105" s="55" t="s">
        <v>65</v>
      </c>
      <c r="C105" s="59">
        <v>132144</v>
      </c>
    </row>
    <row r="106" spans="1:3">
      <c r="A106" s="54" t="s">
        <v>23</v>
      </c>
      <c r="B106" s="55" t="s">
        <v>148</v>
      </c>
      <c r="C106" s="59">
        <v>5000</v>
      </c>
    </row>
    <row r="107" spans="1:3">
      <c r="A107" s="54" t="s">
        <v>23</v>
      </c>
      <c r="B107" s="55" t="s">
        <v>149</v>
      </c>
      <c r="C107" s="59">
        <v>616</v>
      </c>
    </row>
    <row r="108" spans="1:3">
      <c r="A108" s="54" t="s">
        <v>15</v>
      </c>
      <c r="B108" s="55" t="s">
        <v>150</v>
      </c>
      <c r="C108" s="59">
        <v>320</v>
      </c>
    </row>
    <row r="109" spans="1:3">
      <c r="A109" s="54" t="s">
        <v>15</v>
      </c>
      <c r="B109" s="55" t="s">
        <v>151</v>
      </c>
      <c r="C109" s="59">
        <v>7700</v>
      </c>
    </row>
    <row r="110" spans="1:3">
      <c r="A110" s="54" t="s">
        <v>17</v>
      </c>
      <c r="B110" s="55" t="s">
        <v>152</v>
      </c>
      <c r="C110" s="59">
        <v>4300</v>
      </c>
    </row>
    <row r="111" spans="1:3">
      <c r="A111" s="54" t="s">
        <v>6</v>
      </c>
      <c r="B111" s="55" t="s">
        <v>153</v>
      </c>
      <c r="C111" s="59">
        <v>12102</v>
      </c>
    </row>
    <row r="112" spans="1:3">
      <c r="A112" s="54" t="s">
        <v>15</v>
      </c>
      <c r="B112" s="55" t="s">
        <v>154</v>
      </c>
      <c r="C112" s="56">
        <v>107675</v>
      </c>
    </row>
    <row r="113" spans="1:3">
      <c r="A113" s="54" t="s">
        <v>15</v>
      </c>
      <c r="B113" s="55" t="s">
        <v>155</v>
      </c>
      <c r="C113" s="56">
        <v>12000</v>
      </c>
    </row>
    <row r="114" spans="1:3">
      <c r="A114" s="54" t="s">
        <v>15</v>
      </c>
      <c r="B114" s="55" t="s">
        <v>156</v>
      </c>
      <c r="C114" s="56">
        <v>14766</v>
      </c>
    </row>
    <row r="115" spans="1:3">
      <c r="A115" s="54" t="s">
        <v>15</v>
      </c>
      <c r="B115" s="55" t="s">
        <v>157</v>
      </c>
      <c r="C115" s="56">
        <v>578</v>
      </c>
    </row>
    <row r="116" spans="1:3">
      <c r="A116" s="54" t="s">
        <v>6</v>
      </c>
      <c r="B116" s="55" t="s">
        <v>158</v>
      </c>
      <c r="C116" s="56">
        <v>15600</v>
      </c>
    </row>
    <row r="117" spans="1:3">
      <c r="A117" s="54" t="s">
        <v>17</v>
      </c>
      <c r="B117" s="55" t="s">
        <v>159</v>
      </c>
      <c r="C117" s="56">
        <v>363757</v>
      </c>
    </row>
    <row r="118" spans="1:3">
      <c r="A118" s="54" t="s">
        <v>5</v>
      </c>
      <c r="B118" s="55" t="s">
        <v>160</v>
      </c>
      <c r="C118" s="56">
        <v>3000</v>
      </c>
    </row>
    <row r="119" spans="1:3">
      <c r="A119" s="65" t="s">
        <v>4</v>
      </c>
      <c r="B119" s="65"/>
      <c r="C119" s="61">
        <f>SUM(C101:C118)</f>
        <v>1265529</v>
      </c>
    </row>
    <row r="120" spans="1:3">
      <c r="A120" s="62"/>
      <c r="B120" s="62"/>
      <c r="C120" s="62"/>
    </row>
    <row r="121" spans="1:3">
      <c r="A121" s="62"/>
      <c r="B121" s="62"/>
      <c r="C121" s="62"/>
    </row>
    <row r="122" spans="1:3" ht="26.25" customHeight="1">
      <c r="A122" s="51" t="s">
        <v>27</v>
      </c>
      <c r="B122" s="51"/>
      <c r="C122" s="51"/>
    </row>
    <row r="123" spans="1:3" ht="41.25" customHeight="1">
      <c r="A123" s="53" t="s">
        <v>1</v>
      </c>
      <c r="B123" s="53" t="s">
        <v>2</v>
      </c>
      <c r="C123" s="53" t="s">
        <v>3</v>
      </c>
    </row>
    <row r="124" spans="1:3">
      <c r="A124" s="54" t="s">
        <v>5</v>
      </c>
      <c r="B124" s="55" t="s">
        <v>51</v>
      </c>
      <c r="C124" s="56">
        <v>10280</v>
      </c>
    </row>
    <row r="125" spans="1:3">
      <c r="A125" s="54" t="s">
        <v>5</v>
      </c>
      <c r="B125" s="55" t="s">
        <v>52</v>
      </c>
      <c r="C125" s="56">
        <v>176948</v>
      </c>
    </row>
    <row r="126" spans="1:3">
      <c r="A126" s="54" t="s">
        <v>15</v>
      </c>
      <c r="B126" s="55" t="s">
        <v>53</v>
      </c>
      <c r="C126" s="56">
        <v>5115</v>
      </c>
    </row>
    <row r="127" spans="1:3">
      <c r="A127" s="54" t="s">
        <v>7</v>
      </c>
      <c r="B127" s="55" t="s">
        <v>54</v>
      </c>
      <c r="C127" s="56">
        <v>43620</v>
      </c>
    </row>
    <row r="128" spans="1:3">
      <c r="A128" s="54" t="s">
        <v>12</v>
      </c>
      <c r="B128" s="55" t="s">
        <v>55</v>
      </c>
      <c r="C128" s="56">
        <v>15000</v>
      </c>
    </row>
    <row r="129" spans="1:3">
      <c r="A129" s="54" t="s">
        <v>6</v>
      </c>
      <c r="B129" s="55" t="s">
        <v>56</v>
      </c>
      <c r="C129" s="56">
        <v>30737</v>
      </c>
    </row>
    <row r="130" spans="1:3">
      <c r="A130" s="54" t="s">
        <v>6</v>
      </c>
      <c r="B130" s="55" t="s">
        <v>57</v>
      </c>
      <c r="C130" s="56">
        <v>40108</v>
      </c>
    </row>
    <row r="131" spans="1:3">
      <c r="A131" s="54" t="s">
        <v>15</v>
      </c>
      <c r="B131" s="55" t="s">
        <v>58</v>
      </c>
      <c r="C131" s="56">
        <v>700</v>
      </c>
    </row>
    <row r="132" spans="1:3">
      <c r="A132" s="54" t="s">
        <v>15</v>
      </c>
      <c r="B132" s="55" t="s">
        <v>59</v>
      </c>
      <c r="C132" s="56">
        <v>80000</v>
      </c>
    </row>
    <row r="133" spans="1:3">
      <c r="A133" s="54" t="s">
        <v>6</v>
      </c>
      <c r="B133" s="55" t="s">
        <v>60</v>
      </c>
      <c r="C133" s="56">
        <v>2070</v>
      </c>
    </row>
    <row r="134" spans="1:3">
      <c r="A134" s="54" t="s">
        <v>18</v>
      </c>
      <c r="B134" s="55" t="s">
        <v>61</v>
      </c>
      <c r="C134" s="56">
        <v>675</v>
      </c>
    </row>
    <row r="135" spans="1:3">
      <c r="A135" s="54" t="s">
        <v>6</v>
      </c>
      <c r="B135" s="55" t="s">
        <v>62</v>
      </c>
      <c r="C135" s="56">
        <v>17700</v>
      </c>
    </row>
    <row r="136" spans="1:3">
      <c r="A136" s="54" t="s">
        <v>5</v>
      </c>
      <c r="B136" s="55" t="s">
        <v>52</v>
      </c>
      <c r="C136" s="59">
        <v>72211</v>
      </c>
    </row>
    <row r="137" spans="1:3">
      <c r="A137" s="54" t="s">
        <v>6</v>
      </c>
      <c r="B137" s="55" t="s">
        <v>63</v>
      </c>
      <c r="C137" s="59">
        <v>549965</v>
      </c>
    </row>
    <row r="138" spans="1:3">
      <c r="A138" s="54" t="s">
        <v>15</v>
      </c>
      <c r="B138" s="55" t="s">
        <v>64</v>
      </c>
      <c r="C138" s="59">
        <v>12900</v>
      </c>
    </row>
    <row r="139" spans="1:3">
      <c r="A139" s="55" t="s">
        <v>13</v>
      </c>
      <c r="B139" s="55" t="s">
        <v>66</v>
      </c>
      <c r="C139" s="59">
        <v>15950</v>
      </c>
    </row>
    <row r="140" spans="1:3">
      <c r="A140" s="54" t="s">
        <v>6</v>
      </c>
      <c r="B140" s="55" t="s">
        <v>67</v>
      </c>
      <c r="C140" s="59">
        <v>29893</v>
      </c>
    </row>
    <row r="141" spans="1:3">
      <c r="A141" s="54" t="s">
        <v>15</v>
      </c>
      <c r="B141" s="55" t="s">
        <v>68</v>
      </c>
      <c r="C141" s="59">
        <v>5000</v>
      </c>
    </row>
    <row r="142" spans="1:3">
      <c r="A142" s="54" t="s">
        <v>15</v>
      </c>
      <c r="B142" s="55" t="s">
        <v>69</v>
      </c>
      <c r="C142" s="59">
        <v>9795</v>
      </c>
    </row>
    <row r="143" spans="1:3">
      <c r="A143" s="54" t="s">
        <v>15</v>
      </c>
      <c r="B143" s="55" t="s">
        <v>70</v>
      </c>
      <c r="C143" s="59">
        <v>6000</v>
      </c>
    </row>
    <row r="144" spans="1:3">
      <c r="A144" s="54" t="s">
        <v>20</v>
      </c>
      <c r="B144" s="55" t="s">
        <v>71</v>
      </c>
      <c r="C144" s="59">
        <v>2000</v>
      </c>
    </row>
    <row r="145" spans="1:3">
      <c r="A145" s="54" t="s">
        <v>6</v>
      </c>
      <c r="B145" s="55" t="s">
        <v>72</v>
      </c>
      <c r="C145" s="59">
        <v>5800</v>
      </c>
    </row>
    <row r="146" spans="1:3">
      <c r="A146" s="54" t="s">
        <v>12</v>
      </c>
      <c r="B146" s="55" t="s">
        <v>38</v>
      </c>
      <c r="C146" s="56">
        <v>38300</v>
      </c>
    </row>
    <row r="147" spans="1:3">
      <c r="A147" s="54" t="s">
        <v>15</v>
      </c>
      <c r="B147" s="55" t="s">
        <v>73</v>
      </c>
      <c r="C147" s="56">
        <v>1600</v>
      </c>
    </row>
    <row r="148" spans="1:3">
      <c r="A148" s="54" t="s">
        <v>15</v>
      </c>
      <c r="B148" s="55" t="s">
        <v>74</v>
      </c>
      <c r="C148" s="56">
        <v>2500</v>
      </c>
    </row>
    <row r="149" spans="1:3">
      <c r="A149" s="54" t="s">
        <v>6</v>
      </c>
      <c r="B149" s="55" t="s">
        <v>75</v>
      </c>
      <c r="C149" s="56">
        <v>246334</v>
      </c>
    </row>
    <row r="150" spans="1:3">
      <c r="A150" s="54" t="s">
        <v>6</v>
      </c>
      <c r="B150" s="55" t="s">
        <v>76</v>
      </c>
      <c r="C150" s="56">
        <v>28600</v>
      </c>
    </row>
    <row r="151" spans="1:3">
      <c r="A151" s="54" t="s">
        <v>15</v>
      </c>
      <c r="B151" s="55" t="s">
        <v>77</v>
      </c>
      <c r="C151" s="56">
        <v>32500</v>
      </c>
    </row>
    <row r="152" spans="1:3">
      <c r="A152" s="54" t="s">
        <v>15</v>
      </c>
      <c r="B152" s="55" t="s">
        <v>78</v>
      </c>
      <c r="C152" s="56">
        <v>13100</v>
      </c>
    </row>
    <row r="153" spans="1:3">
      <c r="A153" s="54" t="s">
        <v>15</v>
      </c>
      <c r="B153" s="55" t="s">
        <v>79</v>
      </c>
      <c r="C153" s="56">
        <v>8500</v>
      </c>
    </row>
    <row r="154" spans="1:3">
      <c r="A154" s="54" t="s">
        <v>15</v>
      </c>
      <c r="B154" s="55" t="s">
        <v>80</v>
      </c>
      <c r="C154" s="56">
        <v>2000</v>
      </c>
    </row>
    <row r="155" spans="1:3">
      <c r="A155" s="54" t="s">
        <v>8</v>
      </c>
      <c r="B155" s="55" t="s">
        <v>81</v>
      </c>
      <c r="C155" s="56">
        <v>1000</v>
      </c>
    </row>
    <row r="156" spans="1:3">
      <c r="A156" s="54" t="s">
        <v>8</v>
      </c>
      <c r="B156" s="55" t="s">
        <v>82</v>
      </c>
      <c r="C156" s="56">
        <v>16328</v>
      </c>
    </row>
    <row r="157" spans="1:3">
      <c r="A157" s="54" t="s">
        <v>5</v>
      </c>
      <c r="B157" s="55" t="s">
        <v>83</v>
      </c>
      <c r="C157" s="56">
        <v>1300</v>
      </c>
    </row>
    <row r="158" spans="1:3">
      <c r="A158" s="54" t="s">
        <v>5</v>
      </c>
      <c r="B158" s="55" t="s">
        <v>84</v>
      </c>
      <c r="C158" s="56">
        <v>1650</v>
      </c>
    </row>
    <row r="159" spans="1:3">
      <c r="A159" s="54" t="s">
        <v>6</v>
      </c>
      <c r="B159" s="55" t="s">
        <v>85</v>
      </c>
      <c r="C159" s="56">
        <v>23655</v>
      </c>
    </row>
    <row r="160" spans="1:3">
      <c r="A160" s="54" t="s">
        <v>6</v>
      </c>
      <c r="B160" s="63" t="s">
        <v>86</v>
      </c>
      <c r="C160" s="56">
        <v>2093</v>
      </c>
    </row>
    <row r="161" spans="1:3">
      <c r="A161" s="54" t="s">
        <v>6</v>
      </c>
      <c r="B161" s="63" t="s">
        <v>87</v>
      </c>
      <c r="C161" s="56">
        <v>10365</v>
      </c>
    </row>
    <row r="162" spans="1:3">
      <c r="A162" s="54" t="s">
        <v>5</v>
      </c>
      <c r="B162" s="55" t="s">
        <v>88</v>
      </c>
      <c r="C162" s="56">
        <v>72244</v>
      </c>
    </row>
    <row r="163" spans="1:3">
      <c r="A163" s="68" t="s">
        <v>4</v>
      </c>
      <c r="B163" s="69"/>
      <c r="C163" s="70">
        <f>SUM(C124:C162)</f>
        <v>1634536</v>
      </c>
    </row>
  </sheetData>
  <mergeCells count="10">
    <mergeCell ref="A35:B35"/>
    <mergeCell ref="A1:C1"/>
    <mergeCell ref="A39:C39"/>
    <mergeCell ref="A70:B70"/>
    <mergeCell ref="A73:C73"/>
    <mergeCell ref="A96:B96"/>
    <mergeCell ref="A99:C99"/>
    <mergeCell ref="A119:B119"/>
    <mergeCell ref="A122:C122"/>
    <mergeCell ref="A163:B163"/>
  </mergeCells>
  <conditionalFormatting sqref="B3:B18 B20:B34">
    <cfRule type="duplicateValues" dxfId="53" priority="54"/>
  </conditionalFormatting>
  <conditionalFormatting sqref="B3:B18 B20:B34">
    <cfRule type="duplicateValues" dxfId="52" priority="52"/>
    <cfRule type="duplicateValues" dxfId="51" priority="53"/>
  </conditionalFormatting>
  <conditionalFormatting sqref="B19">
    <cfRule type="duplicateValues" dxfId="50" priority="51"/>
  </conditionalFormatting>
  <conditionalFormatting sqref="B41:B68">
    <cfRule type="duplicateValues" dxfId="49" priority="50"/>
  </conditionalFormatting>
  <conditionalFormatting sqref="B41:B68">
    <cfRule type="duplicateValues" dxfId="48" priority="48"/>
    <cfRule type="duplicateValues" dxfId="47" priority="49"/>
  </conditionalFormatting>
  <conditionalFormatting sqref="B69">
    <cfRule type="duplicateValues" dxfId="46" priority="47"/>
  </conditionalFormatting>
  <conditionalFormatting sqref="B69">
    <cfRule type="duplicateValues" dxfId="45" priority="45"/>
    <cfRule type="duplicateValues" dxfId="44" priority="46"/>
  </conditionalFormatting>
  <conditionalFormatting sqref="B77">
    <cfRule type="duplicateValues" dxfId="43" priority="44"/>
  </conditionalFormatting>
  <conditionalFormatting sqref="B77">
    <cfRule type="duplicateValues" dxfId="42" priority="42"/>
    <cfRule type="duplicateValues" dxfId="41" priority="43"/>
  </conditionalFormatting>
  <conditionalFormatting sqref="B78">
    <cfRule type="duplicateValues" dxfId="40" priority="41"/>
  </conditionalFormatting>
  <conditionalFormatting sqref="B78">
    <cfRule type="duplicateValues" dxfId="39" priority="39"/>
    <cfRule type="duplicateValues" dxfId="38" priority="40"/>
  </conditionalFormatting>
  <conditionalFormatting sqref="B79:B80">
    <cfRule type="duplicateValues" dxfId="37" priority="38"/>
  </conditionalFormatting>
  <conditionalFormatting sqref="B79:B80">
    <cfRule type="duplicateValues" dxfId="36" priority="36"/>
    <cfRule type="duplicateValues" dxfId="35" priority="37"/>
  </conditionalFormatting>
  <conditionalFormatting sqref="B81">
    <cfRule type="duplicateValues" dxfId="34" priority="35"/>
  </conditionalFormatting>
  <conditionalFormatting sqref="B81">
    <cfRule type="duplicateValues" dxfId="33" priority="33"/>
    <cfRule type="duplicateValues" dxfId="32" priority="34"/>
  </conditionalFormatting>
  <conditionalFormatting sqref="B82">
    <cfRule type="duplicateValues" dxfId="31" priority="32"/>
  </conditionalFormatting>
  <conditionalFormatting sqref="B82">
    <cfRule type="duplicateValues" dxfId="30" priority="30"/>
    <cfRule type="duplicateValues" dxfId="29" priority="31"/>
  </conditionalFormatting>
  <conditionalFormatting sqref="B83">
    <cfRule type="duplicateValues" dxfId="28" priority="29"/>
  </conditionalFormatting>
  <conditionalFormatting sqref="B83">
    <cfRule type="duplicateValues" dxfId="27" priority="27"/>
    <cfRule type="duplicateValues" dxfId="26" priority="28"/>
  </conditionalFormatting>
  <conditionalFormatting sqref="B84">
    <cfRule type="duplicateValues" dxfId="25" priority="26"/>
  </conditionalFormatting>
  <conditionalFormatting sqref="B84">
    <cfRule type="duplicateValues" dxfId="24" priority="24"/>
    <cfRule type="duplicateValues" dxfId="23" priority="25"/>
  </conditionalFormatting>
  <conditionalFormatting sqref="B85">
    <cfRule type="duplicateValues" dxfId="22" priority="23"/>
  </conditionalFormatting>
  <conditionalFormatting sqref="B85">
    <cfRule type="duplicateValues" dxfId="21" priority="21"/>
    <cfRule type="duplicateValues" dxfId="20" priority="22"/>
  </conditionalFormatting>
  <conditionalFormatting sqref="B86">
    <cfRule type="duplicateValues" dxfId="19" priority="20"/>
  </conditionalFormatting>
  <conditionalFormatting sqref="B86">
    <cfRule type="duplicateValues" dxfId="18" priority="18"/>
    <cfRule type="duplicateValues" dxfId="17" priority="19"/>
  </conditionalFormatting>
  <conditionalFormatting sqref="B87:B90">
    <cfRule type="duplicateValues" dxfId="16" priority="17"/>
  </conditionalFormatting>
  <conditionalFormatting sqref="B87:B90">
    <cfRule type="duplicateValues" dxfId="15" priority="15"/>
    <cfRule type="duplicateValues" dxfId="14" priority="16"/>
  </conditionalFormatting>
  <conditionalFormatting sqref="B91:B95">
    <cfRule type="duplicateValues" dxfId="13" priority="14"/>
  </conditionalFormatting>
  <conditionalFormatting sqref="B91:B95">
    <cfRule type="duplicateValues" dxfId="12" priority="12"/>
    <cfRule type="duplicateValues" dxfId="11" priority="13"/>
  </conditionalFormatting>
  <conditionalFormatting sqref="B101:B111">
    <cfRule type="duplicateValues" dxfId="10" priority="10"/>
    <cfRule type="duplicateValues" dxfId="9" priority="11"/>
  </conditionalFormatting>
  <conditionalFormatting sqref="B112:B117">
    <cfRule type="duplicateValues" dxfId="8" priority="8"/>
    <cfRule type="duplicateValues" dxfId="7" priority="9"/>
  </conditionalFormatting>
  <conditionalFormatting sqref="B118">
    <cfRule type="duplicateValues" dxfId="6" priority="6"/>
    <cfRule type="duplicateValues" dxfId="5" priority="7"/>
  </conditionalFormatting>
  <conditionalFormatting sqref="B124:B135">
    <cfRule type="duplicateValues" dxfId="4" priority="5"/>
  </conditionalFormatting>
  <conditionalFormatting sqref="B136:B145">
    <cfRule type="duplicateValues" dxfId="3" priority="4"/>
  </conditionalFormatting>
  <conditionalFormatting sqref="A139">
    <cfRule type="duplicateValues" dxfId="2" priority="3"/>
  </conditionalFormatting>
  <conditionalFormatting sqref="B146:B156">
    <cfRule type="duplicateValues" dxfId="1" priority="2"/>
  </conditionalFormatting>
  <conditionalFormatting sqref="B157:B1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4.4.1</vt:lpstr>
      <vt:lpstr>AA</vt:lpstr>
      <vt:lpstr>PHY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pc</cp:lastModifiedBy>
  <cp:lastPrinted>2024-09-03T08:05:32Z</cp:lastPrinted>
  <dcterms:created xsi:type="dcterms:W3CDTF">2023-10-17T05:18:25Z</dcterms:created>
  <dcterms:modified xsi:type="dcterms:W3CDTF">2024-12-27T10:48:12Z</dcterms:modified>
</cp:coreProperties>
</file>